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ckson\Desktop\"/>
    </mc:Choice>
  </mc:AlternateContent>
  <xr:revisionPtr revIDLastSave="0" documentId="13_ncr:1_{5D56B3B4-03CF-4B86-96ED-B74EEEEFCDA8}" xr6:coauthVersionLast="44" xr6:coauthVersionMax="44" xr10:uidLastSave="{00000000-0000-0000-0000-000000000000}"/>
  <bookViews>
    <workbookView xWindow="-120" yWindow="-120" windowWidth="29040" windowHeight="16440" xr2:uid="{C4023499-8825-41AD-BEBA-720B3CD2F8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N7" i="2" s="1"/>
  <c r="G8" i="2"/>
  <c r="N8" i="2" s="1"/>
  <c r="G9" i="2"/>
  <c r="N9" i="2" s="1"/>
  <c r="G10" i="2"/>
  <c r="N10" i="2" s="1"/>
  <c r="G11" i="2"/>
  <c r="N11" i="2" s="1"/>
  <c r="G12" i="2"/>
  <c r="G13" i="2"/>
  <c r="N13" i="2" s="1"/>
  <c r="G14" i="2"/>
  <c r="N14" i="2" s="1"/>
  <c r="G15" i="2"/>
  <c r="N15" i="2" s="1"/>
  <c r="G16" i="2"/>
  <c r="N16" i="2" s="1"/>
  <c r="G17" i="2"/>
  <c r="N17" i="2" s="1"/>
  <c r="G18" i="2"/>
  <c r="N18" i="2" s="1"/>
  <c r="G19" i="2"/>
  <c r="N19" i="2" s="1"/>
  <c r="G6" i="2"/>
  <c r="N6" i="2" s="1"/>
  <c r="G5" i="2"/>
  <c r="N5" i="2" s="1"/>
  <c r="G4" i="2"/>
  <c r="N4" i="2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4" i="2"/>
  <c r="N12" i="2" l="1"/>
  <c r="V12" i="1" l="1"/>
  <c r="V13" i="1" l="1"/>
  <c r="V17" i="1" l="1"/>
  <c r="V19" i="1"/>
  <c r="E19" i="1"/>
  <c r="D19" i="1" s="1"/>
  <c r="E18" i="1"/>
  <c r="D18" i="1" s="1"/>
  <c r="E26" i="1"/>
  <c r="D26" i="1" s="1"/>
  <c r="E12" i="1"/>
  <c r="D12" i="1" s="1"/>
  <c r="E13" i="1"/>
  <c r="D13" i="1" s="1"/>
  <c r="E11" i="1"/>
  <c r="D11" i="1" s="1"/>
  <c r="E10" i="1"/>
  <c r="D10" i="1" s="1"/>
  <c r="E9" i="1"/>
  <c r="D9" i="1" s="1"/>
  <c r="E8" i="1"/>
  <c r="D8" i="1" s="1"/>
  <c r="E7" i="1"/>
  <c r="D7" i="1" s="1"/>
  <c r="E6" i="1"/>
  <c r="D6" i="1" s="1"/>
  <c r="E5" i="1"/>
  <c r="D5" i="1" s="1"/>
  <c r="E4" i="1"/>
  <c r="D4" i="1" s="1"/>
  <c r="W3" i="1"/>
  <c r="W5" i="1"/>
  <c r="V9" i="1" s="1"/>
  <c r="W2" i="1"/>
  <c r="A13" i="1" l="1"/>
  <c r="A12" i="1"/>
  <c r="A11" i="1"/>
  <c r="A10" i="1"/>
  <c r="A9" i="1"/>
  <c r="A8" i="1"/>
  <c r="A7" i="1"/>
  <c r="A6" i="1"/>
  <c r="A5" i="1"/>
  <c r="A4" i="1"/>
  <c r="E3" i="1"/>
  <c r="A26" i="1"/>
  <c r="E25" i="1"/>
  <c r="E24" i="1"/>
  <c r="E17" i="1"/>
  <c r="E21" i="1"/>
  <c r="E20" i="1"/>
  <c r="A18" i="1"/>
  <c r="E16" i="1"/>
  <c r="A19" i="1"/>
  <c r="A20" i="1" l="1"/>
  <c r="D20" i="1"/>
  <c r="A3" i="1"/>
  <c r="A2" i="1" s="1"/>
  <c r="D3" i="1"/>
  <c r="A21" i="1"/>
  <c r="D21" i="1"/>
  <c r="A17" i="1"/>
  <c r="D17" i="1"/>
  <c r="A24" i="1"/>
  <c r="D24" i="1"/>
  <c r="A16" i="1"/>
  <c r="D16" i="1"/>
  <c r="A25" i="1"/>
  <c r="D25" i="1"/>
  <c r="E2" i="1"/>
  <c r="E23" i="1"/>
  <c r="E15" i="1"/>
  <c r="A23" i="1" l="1"/>
  <c r="A15" i="1"/>
  <c r="A29" i="1" s="1"/>
  <c r="F3" i="1" s="1"/>
  <c r="E29" i="1"/>
  <c r="F5" i="1" l="1"/>
  <c r="F23" i="1"/>
  <c r="F6" i="1"/>
  <c r="F10" i="1"/>
  <c r="F12" i="1"/>
  <c r="F2" i="1"/>
  <c r="F4" i="1"/>
  <c r="F8" i="1"/>
  <c r="F24" i="1"/>
  <c r="F18" i="1"/>
  <c r="F21" i="1"/>
  <c r="F7" i="1"/>
  <c r="F15" i="1"/>
  <c r="F13" i="1"/>
  <c r="F17" i="1"/>
  <c r="F16" i="1"/>
  <c r="F26" i="1"/>
  <c r="F20" i="1"/>
  <c r="F19" i="1"/>
  <c r="F11" i="1"/>
  <c r="F9" i="1"/>
  <c r="F25" i="1"/>
  <c r="F29" i="1" l="1"/>
  <c r="V7" i="1"/>
  <c r="W4" i="1" s="1"/>
  <c r="V4" i="1" s="1"/>
  <c r="V18" i="1" s="1"/>
  <c r="Q8" i="1" l="1"/>
  <c r="Q18" i="1"/>
  <c r="Q13" i="1"/>
  <c r="Q24" i="1"/>
  <c r="Q25" i="1"/>
  <c r="Q12" i="1"/>
  <c r="Q5" i="1"/>
  <c r="Q9" i="1"/>
  <c r="Q17" i="1"/>
  <c r="Q3" i="1"/>
  <c r="Q11" i="1"/>
  <c r="Q7" i="1"/>
  <c r="Q2" i="1"/>
  <c r="R2" i="1" s="1"/>
  <c r="Q21" i="1"/>
  <c r="Q4" i="1"/>
  <c r="Q23" i="1"/>
  <c r="R23" i="1" s="1"/>
  <c r="Q15" i="1"/>
  <c r="R15" i="1" s="1"/>
  <c r="Q29" i="1"/>
  <c r="R29" i="1" s="1"/>
  <c r="Q6" i="1"/>
  <c r="E35" i="1"/>
  <c r="Q20" i="1"/>
  <c r="E37" i="1"/>
  <c r="Q19" i="1"/>
  <c r="Q16" i="1"/>
  <c r="Q10" i="1"/>
  <c r="Q26" i="1"/>
  <c r="U39" i="1" l="1"/>
  <c r="E39" i="1"/>
  <c r="P25" i="1"/>
  <c r="R25" i="1"/>
  <c r="R16" i="1"/>
  <c r="P16" i="1"/>
  <c r="R7" i="1"/>
  <c r="P7" i="1"/>
  <c r="P12" i="1"/>
  <c r="R12" i="1"/>
  <c r="P19" i="1"/>
  <c r="R19" i="1"/>
  <c r="P11" i="1"/>
  <c r="R11" i="1"/>
  <c r="R3" i="1"/>
  <c r="P3" i="1"/>
  <c r="R24" i="1"/>
  <c r="J26" i="1"/>
  <c r="J25" i="1"/>
  <c r="K25" i="1" s="1"/>
  <c r="J24" i="1"/>
  <c r="K24" i="1" s="1"/>
  <c r="P24" i="1"/>
  <c r="R20" i="1"/>
  <c r="P20" i="1"/>
  <c r="R4" i="1"/>
  <c r="P4" i="1"/>
  <c r="R17" i="1"/>
  <c r="P17" i="1"/>
  <c r="R13" i="1"/>
  <c r="P13" i="1"/>
  <c r="R26" i="1"/>
  <c r="P26" i="1"/>
  <c r="P21" i="1"/>
  <c r="R21" i="1"/>
  <c r="P9" i="1"/>
  <c r="R9" i="1"/>
  <c r="R18" i="1"/>
  <c r="P18" i="1"/>
  <c r="R10" i="1"/>
  <c r="P10" i="1"/>
  <c r="P6" i="1"/>
  <c r="R6" i="1"/>
  <c r="R5" i="1"/>
  <c r="P5" i="1"/>
  <c r="P8" i="1"/>
  <c r="R8" i="1"/>
  <c r="J16" i="1" l="1"/>
  <c r="J3" i="1" s="1"/>
  <c r="K26" i="1"/>
  <c r="M25" i="1"/>
  <c r="N25" i="1" s="1"/>
  <c r="M26" i="1"/>
  <c r="N26" i="1" s="1"/>
  <c r="M24" i="1"/>
  <c r="N24" i="1" s="1"/>
  <c r="K16" i="1" l="1"/>
  <c r="J4" i="1"/>
  <c r="M4" i="1" s="1"/>
  <c r="N4" i="1" s="1"/>
  <c r="K3" i="1"/>
  <c r="M3" i="1"/>
  <c r="N3" i="1" s="1"/>
  <c r="K4" i="1" l="1"/>
  <c r="J5" i="1"/>
  <c r="M16" i="1"/>
  <c r="N16" i="1" s="1"/>
  <c r="J6" i="1" l="1"/>
  <c r="K5" i="1"/>
  <c r="M5" i="1"/>
  <c r="N5" i="1" s="1"/>
  <c r="K6" i="1" l="1"/>
  <c r="M6" i="1"/>
  <c r="N6" i="1" s="1"/>
  <c r="J7" i="1"/>
  <c r="M7" i="1" l="1"/>
  <c r="N7" i="1" s="1"/>
  <c r="K7" i="1"/>
  <c r="J8" i="1"/>
  <c r="K8" i="1" l="1"/>
  <c r="J9" i="1"/>
  <c r="M8" i="1"/>
  <c r="N8" i="1" s="1"/>
  <c r="K9" i="1" l="1"/>
  <c r="J10" i="1"/>
  <c r="K10" i="1" s="1"/>
  <c r="M9" i="1"/>
  <c r="N9" i="1" s="1"/>
  <c r="J11" i="1" l="1"/>
  <c r="K11" i="1" s="1"/>
  <c r="M10" i="1"/>
  <c r="N10" i="1" s="1"/>
  <c r="J12" i="1" l="1"/>
  <c r="K12" i="1" s="1"/>
  <c r="M11" i="1"/>
  <c r="N11" i="1" s="1"/>
  <c r="J13" i="1" l="1"/>
  <c r="K13" i="1" s="1"/>
  <c r="M12" i="1"/>
  <c r="N12" i="1" s="1"/>
  <c r="J17" i="1" l="1"/>
  <c r="K17" i="1" s="1"/>
  <c r="M13" i="1"/>
  <c r="N13" i="1" s="1"/>
  <c r="J18" i="1" l="1"/>
  <c r="K18" i="1" s="1"/>
  <c r="M17" i="1"/>
  <c r="N17" i="1" s="1"/>
  <c r="J19" i="1" l="1"/>
  <c r="K19" i="1" s="1"/>
  <c r="M18" i="1"/>
  <c r="N18" i="1" s="1"/>
  <c r="J20" i="1" l="1"/>
  <c r="K20" i="1" s="1"/>
  <c r="M19" i="1"/>
  <c r="N19" i="1" s="1"/>
  <c r="J21" i="1" l="1"/>
  <c r="K21" i="1" s="1"/>
  <c r="M20" i="1"/>
  <c r="N20" i="1" s="1"/>
  <c r="E43" i="1" l="1"/>
  <c r="E33" i="1"/>
  <c r="E41" i="1" s="1"/>
  <c r="M21" i="1"/>
  <c r="N21" i="1" s="1"/>
  <c r="H17" i="2"/>
  <c r="H8" i="2"/>
  <c r="H14" i="2"/>
  <c r="H19" i="2"/>
  <c r="H6" i="2"/>
  <c r="H4" i="2"/>
  <c r="M4" i="2" s="1"/>
  <c r="O4" i="2" s="1"/>
  <c r="H11" i="2"/>
  <c r="H7" i="2"/>
  <c r="H13" i="2"/>
  <c r="H5" i="2"/>
  <c r="H10" i="2"/>
  <c r="H12" i="2"/>
  <c r="H20" i="2"/>
  <c r="M20" i="2" s="1"/>
  <c r="O20" i="2" s="1"/>
  <c r="H22" i="2"/>
  <c r="M22" i="2" s="1"/>
  <c r="O22" i="2" s="1"/>
  <c r="H16" i="2"/>
  <c r="H15" i="2"/>
  <c r="H9" i="2"/>
  <c r="H18" i="2"/>
  <c r="H21" i="2"/>
  <c r="M21" i="2" s="1"/>
  <c r="O21" i="2" s="1"/>
  <c r="H23" i="2"/>
  <c r="M23" i="2" s="1"/>
  <c r="O23" i="2" s="1"/>
  <c r="M10" i="2" l="1"/>
  <c r="O10" i="2" s="1"/>
  <c r="J11" i="2"/>
  <c r="M15" i="2"/>
  <c r="O15" i="2" s="1"/>
  <c r="J16" i="2"/>
  <c r="M16" i="2"/>
  <c r="O16" i="2" s="1"/>
  <c r="J17" i="2"/>
  <c r="M7" i="2"/>
  <c r="O7" i="2" s="1"/>
  <c r="J8" i="2"/>
  <c r="M8" i="2"/>
  <c r="O8" i="2" s="1"/>
  <c r="J9" i="2"/>
  <c r="M6" i="2"/>
  <c r="O6" i="2" s="1"/>
  <c r="J7" i="2"/>
  <c r="M19" i="2"/>
  <c r="O19" i="2" s="1"/>
  <c r="J20" i="2"/>
  <c r="G20" i="2" s="1"/>
  <c r="M14" i="2"/>
  <c r="O14" i="2" s="1"/>
  <c r="J15" i="2"/>
  <c r="M11" i="2"/>
  <c r="O11" i="2" s="1"/>
  <c r="J12" i="2"/>
  <c r="M17" i="2"/>
  <c r="O17" i="2" s="1"/>
  <c r="J18" i="2"/>
  <c r="M9" i="2"/>
  <c r="O9" i="2" s="1"/>
  <c r="J10" i="2"/>
  <c r="M5" i="2"/>
  <c r="O5" i="2" s="1"/>
  <c r="J6" i="2"/>
  <c r="M13" i="2"/>
  <c r="O13" i="2" s="1"/>
  <c r="J14" i="2"/>
  <c r="M18" i="2"/>
  <c r="O18" i="2" s="1"/>
  <c r="J19" i="2"/>
  <c r="M12" i="2"/>
  <c r="O12" i="2" s="1"/>
  <c r="J13" i="2"/>
  <c r="N20" i="2" l="1"/>
  <c r="J21" i="2"/>
  <c r="G21" i="2" s="1"/>
  <c r="J22" i="2" l="1"/>
  <c r="G22" i="2" s="1"/>
  <c r="N21" i="2"/>
  <c r="J23" i="2" l="1"/>
  <c r="G23" i="2" s="1"/>
  <c r="N23" i="2" s="1"/>
  <c r="N22" i="2"/>
</calcChain>
</file>

<file path=xl/sharedStrings.xml><?xml version="1.0" encoding="utf-8"?>
<sst xmlns="http://schemas.openxmlformats.org/spreadsheetml/2006/main" count="64" uniqueCount="55">
  <si>
    <t>Actuarial Mathematics for Life Contingent Risks, 2nd Edition</t>
  </si>
  <si>
    <t>Chapter 1 (except Section 1.8)</t>
  </si>
  <si>
    <t>Chapter 2</t>
  </si>
  <si>
    <t>Chapter 3 (except Section 3.12)</t>
  </si>
  <si>
    <t>Chapter 4 (except Section 4.8)</t>
  </si>
  <si>
    <t>Chapter 5 (except Section 5.14)</t>
  </si>
  <si>
    <t>Chapter 6 (except Section 6.10)</t>
  </si>
  <si>
    <t>Chapter 8 (except Section 8.14)</t>
  </si>
  <si>
    <t>Chapter 9 (except Section 9.8)</t>
  </si>
  <si>
    <t>Chapter 10 (except Section 10.8)</t>
  </si>
  <si>
    <t>Chapter 12 (except Section 12.9)</t>
  </si>
  <si>
    <t>LTAM-21-18 Supplementary Note on Long Term Actuarial Mathematics</t>
  </si>
  <si>
    <t>Chapter 1</t>
  </si>
  <si>
    <t>Chapter 3</t>
  </si>
  <si>
    <t>Chapter 5</t>
  </si>
  <si>
    <t>Chapter 6</t>
  </si>
  <si>
    <t>LTAM-22-19 Loss Models, From Data to Decisions, 5th edition</t>
  </si>
  <si>
    <t>Chapter 10 (background reading only)</t>
  </si>
  <si>
    <t>Chapter 11 (background reading only)</t>
  </si>
  <si>
    <t>Chapter 14 (except for 14.4 and 14.6)</t>
  </si>
  <si>
    <t>Start</t>
  </si>
  <si>
    <t>Decision Deadline</t>
  </si>
  <si>
    <t>Test</t>
  </si>
  <si>
    <t>Date</t>
  </si>
  <si>
    <t>Days</t>
  </si>
  <si>
    <t>Pages</t>
  </si>
  <si>
    <t>Total</t>
  </si>
  <si>
    <t>Total Days</t>
  </si>
  <si>
    <t>Weeks</t>
  </si>
  <si>
    <t>Complete</t>
  </si>
  <si>
    <t>Plan vs Actual</t>
  </si>
  <si>
    <t>Plan</t>
  </si>
  <si>
    <t>Chapter 7 (except Section 7.3.5, 7.6, 7.7, 7.10)</t>
  </si>
  <si>
    <t>Adjustment</t>
  </si>
  <si>
    <t>Weight</t>
  </si>
  <si>
    <t>Cum. Day</t>
  </si>
  <si>
    <t>Cum. Week</t>
  </si>
  <si>
    <t>Practice</t>
  </si>
  <si>
    <t>Total Study Days</t>
  </si>
  <si>
    <t>Current Progress:</t>
  </si>
  <si>
    <t>Required Progress:</t>
  </si>
  <si>
    <t>Today</t>
  </si>
  <si>
    <t>Chapter 4 (Section 4.6 is background only)</t>
  </si>
  <si>
    <t>Decision Cutoff:</t>
  </si>
  <si>
    <t>Fighting:</t>
  </si>
  <si>
    <t>Current Task:</t>
  </si>
  <si>
    <t xml:space="preserve"> </t>
  </si>
  <si>
    <t>Review Days</t>
  </si>
  <si>
    <t>&lt;- Change this</t>
  </si>
  <si>
    <t>Days to</t>
  </si>
  <si>
    <t>Day</t>
  </si>
  <si>
    <t>Unadjusted Progress:</t>
  </si>
  <si>
    <t>Predict</t>
  </si>
  <si>
    <t>Actual</t>
  </si>
  <si>
    <t>Expect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</si>
</sst>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000%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14" fontId="0" fillId="0" borderId="0" xfId="0" applyNumberFormat="1" applyBorder="1"/>
    <xf numFmtId="1" fontId="0" fillId="0" borderId="0" xfId="0" applyNumberFormat="1"/>
    <xf numFmtId="164" fontId="0" fillId="0" borderId="1" xfId="0" applyNumberFormat="1" applyBorder="1"/>
    <xf numFmtId="2" fontId="0" fillId="0" borderId="1" xfId="0" applyNumberFormat="1" applyBorder="1"/>
    <xf numFmtId="9" fontId="0" fillId="0" borderId="0" xfId="1" applyFont="1" applyBorder="1"/>
    <xf numFmtId="9" fontId="0" fillId="0" borderId="0" xfId="1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0" fillId="0" borderId="0" xfId="0" applyFont="1"/>
    <xf numFmtId="14" fontId="0" fillId="0" borderId="0" xfId="0" applyNumberFormat="1" applyFont="1"/>
    <xf numFmtId="22" fontId="0" fillId="0" borderId="0" xfId="0" applyNumberFormat="1" applyFont="1"/>
    <xf numFmtId="9" fontId="0" fillId="0" borderId="1" xfId="1" applyFont="1" applyBorder="1"/>
    <xf numFmtId="14" fontId="0" fillId="0" borderId="1" xfId="0" applyNumberFormat="1" applyBorder="1"/>
    <xf numFmtId="166" fontId="1" fillId="0" borderId="0" xfId="1" applyNumberFormat="1" applyFont="1" applyBorder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2" fillId="0" borderId="0" xfId="1" applyNumberFormat="1" applyFont="1"/>
    <xf numFmtId="164" fontId="0" fillId="0" borderId="0" xfId="1" applyNumberFormat="1" applyFont="1"/>
    <xf numFmtId="164" fontId="0" fillId="0" borderId="1" xfId="1" applyNumberFormat="1" applyFont="1" applyBorder="1"/>
    <xf numFmtId="1" fontId="1" fillId="0" borderId="0" xfId="1" applyNumberFormat="1" applyFont="1"/>
    <xf numFmtId="1" fontId="0" fillId="0" borderId="0" xfId="0" applyNumberFormat="1" applyFont="1"/>
    <xf numFmtId="14" fontId="0" fillId="0" borderId="0" xfId="2" applyNumberFormat="1" applyFont="1"/>
    <xf numFmtId="165" fontId="1" fillId="0" borderId="2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3"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Sheet2!$N$3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Sheet2!$M$4:$M$23</c:f>
              <c:numCache>
                <c:formatCode>m/d/yyyy</c:formatCode>
                <c:ptCount val="20"/>
                <c:pt idx="0">
                  <c:v>43660.214861751156</c:v>
                </c:pt>
                <c:pt idx="1">
                  <c:v>43661.557603686633</c:v>
                </c:pt>
                <c:pt idx="2">
                  <c:v>43668.420506912444</c:v>
                </c:pt>
                <c:pt idx="3">
                  <c:v>43669.273041474655</c:v>
                </c:pt>
                <c:pt idx="4">
                  <c:v>43670.019009216587</c:v>
                </c:pt>
                <c:pt idx="5">
                  <c:v>43671.830645161288</c:v>
                </c:pt>
                <c:pt idx="6">
                  <c:v>43674.601382488479</c:v>
                </c:pt>
                <c:pt idx="7">
                  <c:v>43677.478686635943</c:v>
                </c:pt>
                <c:pt idx="8">
                  <c:v>43680.569124423964</c:v>
                </c:pt>
                <c:pt idx="9">
                  <c:v>43683.339861751156</c:v>
                </c:pt>
                <c:pt idx="10">
                  <c:v>43691.865207373274</c:v>
                </c:pt>
                <c:pt idx="11">
                  <c:v>43702.308755760372</c:v>
                </c:pt>
                <c:pt idx="12">
                  <c:v>43707.637096774197</c:v>
                </c:pt>
                <c:pt idx="13">
                  <c:v>43713.817972350233</c:v>
                </c:pt>
                <c:pt idx="14">
                  <c:v>43719.146313364057</c:v>
                </c:pt>
                <c:pt idx="15">
                  <c:v>43722.556451612902</c:v>
                </c:pt>
                <c:pt idx="16">
                  <c:v>43724.261520737324</c:v>
                </c:pt>
                <c:pt idx="17">
                  <c:v>43729.376728110597</c:v>
                </c:pt>
                <c:pt idx="18">
                  <c:v>43730.868663594469</c:v>
                </c:pt>
                <c:pt idx="19">
                  <c:v>43733</c:v>
                </c:pt>
              </c:numCache>
            </c:numRef>
          </c:cat>
          <c:val>
            <c:numRef>
              <c:f>Sheet2!$N$4:$N$23</c:f>
              <c:numCache>
                <c:formatCode>m/d/yyyy</c:formatCode>
                <c:ptCount val="20"/>
                <c:pt idx="0">
                  <c:v>43660</c:v>
                </c:pt>
                <c:pt idx="1">
                  <c:v>43661</c:v>
                </c:pt>
                <c:pt idx="2">
                  <c:v>43668.559701492537</c:v>
                </c:pt>
                <c:pt idx="3">
                  <c:v>43670</c:v>
                </c:pt>
                <c:pt idx="4">
                  <c:v>43671</c:v>
                </c:pt>
                <c:pt idx="5">
                  <c:v>43675</c:v>
                </c:pt>
                <c:pt idx="6">
                  <c:v>43677</c:v>
                </c:pt>
                <c:pt idx="7">
                  <c:v>43680</c:v>
                </c:pt>
                <c:pt idx="8">
                  <c:v>43681.047449537036</c:v>
                </c:pt>
                <c:pt idx="9">
                  <c:v>43681.896244097225</c:v>
                </c:pt>
                <c:pt idx="10">
                  <c:v>43688.49504386574</c:v>
                </c:pt>
                <c:pt idx="11">
                  <c:v>43699.022843749997</c:v>
                </c:pt>
                <c:pt idx="12">
                  <c:v>43702.796877777779</c:v>
                </c:pt>
                <c:pt idx="13">
                  <c:v>43709.681617361108</c:v>
                </c:pt>
                <c:pt idx="14">
                  <c:v>43715.008793171299</c:v>
                </c:pt>
                <c:pt idx="15">
                  <c:v>43717.008606597221</c:v>
                </c:pt>
                <c:pt idx="16">
                  <c:v>43720.001449768519</c:v>
                </c:pt>
                <c:pt idx="17">
                  <c:v>43723.877692824077</c:v>
                </c:pt>
                <c:pt idx="18">
                  <c:v>43723.977998842594</c:v>
                </c:pt>
                <c:pt idx="19">
                  <c:v>43724.024185300928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7-4836-8DDE-F0CE495B98B9}"/>
            </c:ext>
          </c:extLst>
        </c:ser>
        <c:ser>
          <c:idx val="1"/>
          <c:order val="1"/>
          <c:tx>
            <c:strRef>
              <c:f>Sheet2!$O$3</c:f>
              <c:strCache>
                <c:ptCount val="1"/>
                <c:pt idx="0">
                  <c:v>Expect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  <a:alpha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  <a:alpha val="6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Sheet2!$M$4:$M$23</c:f>
              <c:numCache>
                <c:formatCode>m/d/yyyy</c:formatCode>
                <c:ptCount val="20"/>
                <c:pt idx="0">
                  <c:v>43660.214861751156</c:v>
                </c:pt>
                <c:pt idx="1">
                  <c:v>43661.557603686633</c:v>
                </c:pt>
                <c:pt idx="2">
                  <c:v>43668.420506912444</c:v>
                </c:pt>
                <c:pt idx="3">
                  <c:v>43669.273041474655</c:v>
                </c:pt>
                <c:pt idx="4">
                  <c:v>43670.019009216587</c:v>
                </c:pt>
                <c:pt idx="5">
                  <c:v>43671.830645161288</c:v>
                </c:pt>
                <c:pt idx="6">
                  <c:v>43674.601382488479</c:v>
                </c:pt>
                <c:pt idx="7">
                  <c:v>43677.478686635943</c:v>
                </c:pt>
                <c:pt idx="8">
                  <c:v>43680.569124423964</c:v>
                </c:pt>
                <c:pt idx="9">
                  <c:v>43683.339861751156</c:v>
                </c:pt>
                <c:pt idx="10">
                  <c:v>43691.865207373274</c:v>
                </c:pt>
                <c:pt idx="11">
                  <c:v>43702.308755760372</c:v>
                </c:pt>
                <c:pt idx="12">
                  <c:v>43707.637096774197</c:v>
                </c:pt>
                <c:pt idx="13">
                  <c:v>43713.817972350233</c:v>
                </c:pt>
                <c:pt idx="14">
                  <c:v>43719.146313364057</c:v>
                </c:pt>
                <c:pt idx="15">
                  <c:v>43722.556451612902</c:v>
                </c:pt>
                <c:pt idx="16">
                  <c:v>43724.261520737324</c:v>
                </c:pt>
                <c:pt idx="17">
                  <c:v>43729.376728110597</c:v>
                </c:pt>
                <c:pt idx="18">
                  <c:v>43730.868663594469</c:v>
                </c:pt>
                <c:pt idx="19">
                  <c:v>43733</c:v>
                </c:pt>
              </c:numCache>
            </c:numRef>
          </c:cat>
          <c:val>
            <c:numRef>
              <c:f>Sheet2!$O$4:$O$23</c:f>
              <c:numCache>
                <c:formatCode>m/d/yyyy</c:formatCode>
                <c:ptCount val="20"/>
                <c:pt idx="0">
                  <c:v>43660.214861751156</c:v>
                </c:pt>
                <c:pt idx="1">
                  <c:v>43661.557603686633</c:v>
                </c:pt>
                <c:pt idx="2">
                  <c:v>43668.420506912444</c:v>
                </c:pt>
                <c:pt idx="3">
                  <c:v>43669.273041474655</c:v>
                </c:pt>
                <c:pt idx="4">
                  <c:v>43670.019009216587</c:v>
                </c:pt>
                <c:pt idx="5">
                  <c:v>43671.830645161288</c:v>
                </c:pt>
                <c:pt idx="6">
                  <c:v>43674.601382488479</c:v>
                </c:pt>
                <c:pt idx="7">
                  <c:v>43677.478686635943</c:v>
                </c:pt>
                <c:pt idx="8">
                  <c:v>43680.569124423964</c:v>
                </c:pt>
                <c:pt idx="9">
                  <c:v>43683.339861751156</c:v>
                </c:pt>
                <c:pt idx="10">
                  <c:v>43691.865207373274</c:v>
                </c:pt>
                <c:pt idx="11">
                  <c:v>43702.308755760372</c:v>
                </c:pt>
                <c:pt idx="12">
                  <c:v>43707.637096774197</c:v>
                </c:pt>
                <c:pt idx="13">
                  <c:v>43713.817972350233</c:v>
                </c:pt>
                <c:pt idx="14">
                  <c:v>43719.146313364057</c:v>
                </c:pt>
                <c:pt idx="15">
                  <c:v>43722.556451612902</c:v>
                </c:pt>
                <c:pt idx="16">
                  <c:v>43724.261520737324</c:v>
                </c:pt>
                <c:pt idx="17">
                  <c:v>43729.376728110597</c:v>
                </c:pt>
                <c:pt idx="18">
                  <c:v>43730.868663594469</c:v>
                </c:pt>
                <c:pt idx="19">
                  <c:v>43733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7-4836-8DDE-F0CE495B9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63487"/>
        <c:axId val="1176782207"/>
      </c:lineChart>
      <c:dateAx>
        <c:axId val="669163487"/>
        <c:scaling>
          <c:orientation val="minMax"/>
          <c:max val="43733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782207"/>
        <c:crosses val="autoZero"/>
        <c:auto val="1"/>
        <c:lblOffset val="100"/>
        <c:baseTimeUnit val="days"/>
        <c:majorUnit val="5"/>
        <c:majorTimeUnit val="days"/>
      </c:dateAx>
      <c:valAx>
        <c:axId val="1176782207"/>
        <c:scaling>
          <c:orientation val="minMax"/>
          <c:max val="43733"/>
          <c:min val="43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63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2</xdr:row>
      <xdr:rowOff>38100</xdr:rowOff>
    </xdr:from>
    <xdr:to>
      <xdr:col>29</xdr:col>
      <xdr:colOff>47625</xdr:colOff>
      <xdr:row>32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D64AE2-AC04-4FD6-A44E-85F3E60B0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0026-A983-4F64-93DB-F973DA48C5AA}">
  <sheetPr codeName="Sheet1"/>
  <dimension ref="A1:X43"/>
  <sheetViews>
    <sheetView tabSelected="1" topLeftCell="B4" workbookViewId="0">
      <selection activeCell="I25" sqref="I25"/>
    </sheetView>
  </sheetViews>
  <sheetFormatPr defaultRowHeight="15" x14ac:dyDescent="0.25"/>
  <cols>
    <col min="1" max="1" width="4.140625" style="14" customWidth="1"/>
    <col min="3" max="3" width="62.85546875" customWidth="1"/>
    <col min="4" max="4" width="4.5703125" customWidth="1"/>
    <col min="6" max="6" width="8.42578125" style="13" bestFit="1" customWidth="1"/>
    <col min="7" max="7" width="11.42578125" style="13" customWidth="1"/>
    <col min="8" max="8" width="3.42578125" customWidth="1"/>
    <col min="9" max="9" width="9.7109375" bestFit="1" customWidth="1"/>
    <col min="10" max="10" width="10.7109375" bestFit="1" customWidth="1"/>
    <col min="11" max="11" width="13.28515625" bestFit="1" customWidth="1"/>
    <col min="12" max="12" width="9.140625" customWidth="1"/>
    <col min="15" max="16" width="3.42578125" customWidth="1"/>
    <col min="21" max="21" width="17.28515625" bestFit="1" customWidth="1"/>
    <col min="22" max="22" width="10.7109375" bestFit="1" customWidth="1"/>
  </cols>
  <sheetData>
    <row r="1" spans="1:24" x14ac:dyDescent="0.25">
      <c r="A1" s="14" t="s">
        <v>46</v>
      </c>
      <c r="E1" s="4" t="s">
        <v>25</v>
      </c>
      <c r="F1" s="20" t="s">
        <v>34</v>
      </c>
      <c r="G1" s="20" t="s">
        <v>33</v>
      </c>
      <c r="H1" s="4"/>
      <c r="I1" s="4" t="s">
        <v>29</v>
      </c>
      <c r="J1" s="4" t="s">
        <v>31</v>
      </c>
      <c r="K1" s="4" t="s">
        <v>30</v>
      </c>
      <c r="L1" s="4"/>
      <c r="M1" s="4" t="s">
        <v>35</v>
      </c>
      <c r="N1" s="4" t="s">
        <v>36</v>
      </c>
      <c r="O1" s="4"/>
      <c r="P1" s="4"/>
      <c r="Q1" s="4" t="s">
        <v>24</v>
      </c>
      <c r="R1" s="4" t="s">
        <v>28</v>
      </c>
      <c r="V1" s="2" t="s">
        <v>23</v>
      </c>
      <c r="W1" s="2" t="s">
        <v>24</v>
      </c>
    </row>
    <row r="2" spans="1:24" x14ac:dyDescent="0.25">
      <c r="A2" s="14">
        <f>SUM(A3:A13)</f>
        <v>234</v>
      </c>
      <c r="C2" s="4" t="s">
        <v>0</v>
      </c>
      <c r="D2" s="4"/>
      <c r="E2" s="4">
        <f>SUM(E3:E13)</f>
        <v>307</v>
      </c>
      <c r="F2" s="20">
        <f t="shared" ref="F2:F13" si="0">A2/$A$29</f>
        <v>0.67396313364055305</v>
      </c>
      <c r="G2" s="20"/>
      <c r="H2" s="4"/>
      <c r="I2" s="4"/>
      <c r="J2" s="21"/>
      <c r="K2" s="4"/>
      <c r="L2" s="4"/>
      <c r="M2" s="4"/>
      <c r="N2" s="4"/>
      <c r="O2" s="4"/>
      <c r="P2" s="4"/>
      <c r="Q2" s="10">
        <f t="shared" ref="Q2:Q13" si="1">F2*$V$7</f>
        <v>49.873271889400925</v>
      </c>
      <c r="R2" s="11">
        <f>Q2/7</f>
        <v>7.124753127057275</v>
      </c>
      <c r="U2" t="s">
        <v>20</v>
      </c>
      <c r="V2" s="1">
        <v>43659</v>
      </c>
      <c r="W2">
        <f>V2-$V$2</f>
        <v>0</v>
      </c>
    </row>
    <row r="3" spans="1:24" x14ac:dyDescent="0.25">
      <c r="A3" s="14">
        <f t="shared" ref="A3:A26" si="2">E3*(1+G3)</f>
        <v>3.5</v>
      </c>
      <c r="C3" t="s">
        <v>1</v>
      </c>
      <c r="D3" s="23">
        <f>E3</f>
        <v>14</v>
      </c>
      <c r="E3">
        <f>15-1</f>
        <v>14</v>
      </c>
      <c r="F3" s="12">
        <f t="shared" si="0"/>
        <v>1.0080645161290322E-2</v>
      </c>
      <c r="G3" s="13">
        <v>-0.75</v>
      </c>
      <c r="I3" s="8">
        <v>43671</v>
      </c>
      <c r="J3" s="8">
        <f>$J$16+Q3</f>
        <v>43670.019009216587</v>
      </c>
      <c r="K3" s="25">
        <f t="shared" ref="K3:K9" si="3">IF(COUNT(I3)=1,J3-I3,"Not Done")</f>
        <v>-0.98099078341329005</v>
      </c>
      <c r="M3" s="7">
        <f t="shared" ref="M3:M13" si="4">J3-$V$2</f>
        <v>11.01900921658671</v>
      </c>
      <c r="N3" s="7">
        <f>M3/7</f>
        <v>1.5741441737981015</v>
      </c>
      <c r="O3" s="7"/>
      <c r="P3" s="23">
        <f>Q3</f>
        <v>0.74596774193548387</v>
      </c>
      <c r="Q3" s="7">
        <f t="shared" si="1"/>
        <v>0.74596774193548387</v>
      </c>
      <c r="R3" s="6">
        <f t="shared" ref="R3:R29" si="5">Q3/7</f>
        <v>0.10656682027649769</v>
      </c>
      <c r="U3" t="s">
        <v>21</v>
      </c>
      <c r="V3" s="1">
        <v>43731</v>
      </c>
      <c r="W3">
        <f>V3-$V$2</f>
        <v>72</v>
      </c>
    </row>
    <row r="4" spans="1:24" x14ac:dyDescent="0.25">
      <c r="A4" s="14">
        <f t="shared" si="2"/>
        <v>8.5</v>
      </c>
      <c r="C4" t="s">
        <v>2</v>
      </c>
      <c r="D4" s="23">
        <f t="shared" ref="D4:D13" si="6">E4</f>
        <v>17</v>
      </c>
      <c r="E4">
        <f>34-17</f>
        <v>17</v>
      </c>
      <c r="F4" s="12">
        <f t="shared" si="0"/>
        <v>2.4481566820276499E-2</v>
      </c>
      <c r="G4" s="13">
        <v>-0.5</v>
      </c>
      <c r="I4" s="8">
        <v>43675</v>
      </c>
      <c r="J4" s="8">
        <f t="shared" ref="J4:J13" si="7">J3+Q4</f>
        <v>43671.830645161288</v>
      </c>
      <c r="K4" s="25">
        <f t="shared" si="3"/>
        <v>-3.1693548387120245</v>
      </c>
      <c r="M4" s="7">
        <f t="shared" si="4"/>
        <v>12.830645161287975</v>
      </c>
      <c r="N4" s="7">
        <f t="shared" ref="N4:N26" si="8">M4/7</f>
        <v>1.8329493087554252</v>
      </c>
      <c r="O4" s="7"/>
      <c r="P4" s="23">
        <f t="shared" ref="P4:P26" si="9">Q4</f>
        <v>1.8116359447004609</v>
      </c>
      <c r="Q4" s="7">
        <f t="shared" si="1"/>
        <v>1.8116359447004609</v>
      </c>
      <c r="R4" s="6">
        <f t="shared" si="5"/>
        <v>0.25880513495720869</v>
      </c>
      <c r="U4" t="s">
        <v>37</v>
      </c>
      <c r="V4" s="1">
        <f>V2+W4</f>
        <v>43733</v>
      </c>
      <c r="W4">
        <f>V7</f>
        <v>74</v>
      </c>
    </row>
    <row r="5" spans="1:24" x14ac:dyDescent="0.25">
      <c r="A5" s="14">
        <f t="shared" si="2"/>
        <v>13</v>
      </c>
      <c r="C5" t="s">
        <v>3</v>
      </c>
      <c r="D5" s="23">
        <f t="shared" si="6"/>
        <v>26</v>
      </c>
      <c r="E5">
        <f>67-41</f>
        <v>26</v>
      </c>
      <c r="F5" s="12">
        <f t="shared" si="0"/>
        <v>3.744239631336406E-2</v>
      </c>
      <c r="G5" s="13">
        <v>-0.5</v>
      </c>
      <c r="I5" s="18">
        <v>43677</v>
      </c>
      <c r="J5" s="8">
        <f t="shared" si="7"/>
        <v>43674.601382488479</v>
      </c>
      <c r="K5" s="25">
        <f t="shared" si="3"/>
        <v>-2.3986175115205697</v>
      </c>
      <c r="M5" s="7">
        <f t="shared" si="4"/>
        <v>15.60138248847943</v>
      </c>
      <c r="N5" s="7">
        <f t="shared" si="8"/>
        <v>2.2287689269256328</v>
      </c>
      <c r="O5" s="7"/>
      <c r="P5" s="23">
        <f t="shared" si="9"/>
        <v>2.7707373271889404</v>
      </c>
      <c r="Q5" s="7">
        <f t="shared" si="1"/>
        <v>2.7707373271889404</v>
      </c>
      <c r="R5" s="6">
        <f t="shared" si="5"/>
        <v>0.39581961816984862</v>
      </c>
      <c r="U5" t="s">
        <v>22</v>
      </c>
      <c r="V5" s="1">
        <v>43763</v>
      </c>
      <c r="W5">
        <f>V5-$V$2</f>
        <v>104</v>
      </c>
    </row>
    <row r="6" spans="1:24" x14ac:dyDescent="0.25">
      <c r="A6" s="14">
        <f t="shared" si="2"/>
        <v>13.5</v>
      </c>
      <c r="C6" t="s">
        <v>4</v>
      </c>
      <c r="D6" s="23">
        <f t="shared" si="6"/>
        <v>27</v>
      </c>
      <c r="E6">
        <f>103-76</f>
        <v>27</v>
      </c>
      <c r="F6" s="12">
        <f t="shared" si="0"/>
        <v>3.8882488479262671E-2</v>
      </c>
      <c r="G6" s="13">
        <v>-0.5</v>
      </c>
      <c r="I6" s="8">
        <v>43680</v>
      </c>
      <c r="J6" s="8">
        <f t="shared" si="7"/>
        <v>43677.478686635943</v>
      </c>
      <c r="K6" s="25">
        <f t="shared" si="3"/>
        <v>-2.5213133640572778</v>
      </c>
      <c r="M6" s="7">
        <f t="shared" si="4"/>
        <v>18.478686635942722</v>
      </c>
      <c r="N6" s="7">
        <f t="shared" si="8"/>
        <v>2.639812376563246</v>
      </c>
      <c r="O6" s="7"/>
      <c r="P6" s="23">
        <f t="shared" si="9"/>
        <v>2.8773041474654377</v>
      </c>
      <c r="Q6" s="7">
        <f t="shared" si="1"/>
        <v>2.8773041474654377</v>
      </c>
      <c r="R6" s="6">
        <f t="shared" si="5"/>
        <v>0.41104344963791967</v>
      </c>
    </row>
    <row r="7" spans="1:24" x14ac:dyDescent="0.25">
      <c r="A7" s="14">
        <f t="shared" si="2"/>
        <v>14.5</v>
      </c>
      <c r="C7" t="s">
        <v>5</v>
      </c>
      <c r="D7" s="23">
        <f t="shared" si="6"/>
        <v>29</v>
      </c>
      <c r="E7">
        <f>138-109</f>
        <v>29</v>
      </c>
      <c r="F7" s="12">
        <f t="shared" si="0"/>
        <v>4.1762672811059907E-2</v>
      </c>
      <c r="G7" s="13">
        <v>-0.5</v>
      </c>
      <c r="I7" s="18">
        <v>43681.047449537036</v>
      </c>
      <c r="J7" s="8">
        <f t="shared" si="7"/>
        <v>43680.569124423964</v>
      </c>
      <c r="K7" s="25">
        <f t="shared" si="3"/>
        <v>-0.47832511307206005</v>
      </c>
      <c r="M7" s="7">
        <f t="shared" si="4"/>
        <v>21.56912442396424</v>
      </c>
      <c r="N7" s="7">
        <f t="shared" si="8"/>
        <v>3.0813034891377487</v>
      </c>
      <c r="O7" s="7"/>
      <c r="P7" s="23">
        <f t="shared" si="9"/>
        <v>3.0904377880184333</v>
      </c>
      <c r="Q7" s="7">
        <f t="shared" si="1"/>
        <v>3.0904377880184333</v>
      </c>
      <c r="R7" s="6">
        <f t="shared" si="5"/>
        <v>0.44149111257406187</v>
      </c>
      <c r="U7" t="s">
        <v>38</v>
      </c>
      <c r="V7">
        <f>V9-V8</f>
        <v>74</v>
      </c>
    </row>
    <row r="8" spans="1:24" x14ac:dyDescent="0.25">
      <c r="A8" s="14">
        <f t="shared" si="2"/>
        <v>13</v>
      </c>
      <c r="C8" t="s">
        <v>6</v>
      </c>
      <c r="D8" s="23">
        <f t="shared" si="6"/>
        <v>26</v>
      </c>
      <c r="E8">
        <f>170-144</f>
        <v>26</v>
      </c>
      <c r="F8" s="12">
        <f t="shared" si="0"/>
        <v>3.744239631336406E-2</v>
      </c>
      <c r="G8" s="13">
        <v>-0.5</v>
      </c>
      <c r="I8" s="8">
        <v>43681.896244097225</v>
      </c>
      <c r="J8" s="8">
        <f t="shared" si="7"/>
        <v>43683.339861751156</v>
      </c>
      <c r="K8" s="25">
        <f t="shared" si="3"/>
        <v>1.4436176539311418</v>
      </c>
      <c r="M8" s="7">
        <f t="shared" si="4"/>
        <v>24.339861751155695</v>
      </c>
      <c r="N8" s="7">
        <f t="shared" si="8"/>
        <v>3.4771231073079565</v>
      </c>
      <c r="O8" s="7"/>
      <c r="P8" s="23">
        <f t="shared" si="9"/>
        <v>2.7707373271889404</v>
      </c>
      <c r="Q8" s="7">
        <f t="shared" si="1"/>
        <v>2.7707373271889404</v>
      </c>
      <c r="R8" s="6">
        <f t="shared" si="5"/>
        <v>0.39581961816984862</v>
      </c>
      <c r="U8" s="4" t="s">
        <v>47</v>
      </c>
      <c r="V8" s="4">
        <v>30</v>
      </c>
      <c r="W8" s="4" t="s">
        <v>48</v>
      </c>
    </row>
    <row r="9" spans="1:24" x14ac:dyDescent="0.25">
      <c r="A9" s="14">
        <f t="shared" si="2"/>
        <v>40</v>
      </c>
      <c r="C9" t="s">
        <v>32</v>
      </c>
      <c r="D9" s="23">
        <f t="shared" si="6"/>
        <v>40</v>
      </c>
      <c r="E9">
        <f>202-178+215-205+231-225</f>
        <v>40</v>
      </c>
      <c r="F9" s="12">
        <f t="shared" si="0"/>
        <v>0.1152073732718894</v>
      </c>
      <c r="I9" s="18">
        <v>43688.49504386574</v>
      </c>
      <c r="J9" s="8">
        <f t="shared" si="7"/>
        <v>43691.865207373274</v>
      </c>
      <c r="K9" s="25">
        <f t="shared" si="3"/>
        <v>3.3701635075340164</v>
      </c>
      <c r="M9" s="7">
        <f t="shared" si="4"/>
        <v>32.865207373273734</v>
      </c>
      <c r="N9" s="7">
        <f t="shared" si="8"/>
        <v>4.6950296247533903</v>
      </c>
      <c r="O9" s="7"/>
      <c r="P9" s="23">
        <f t="shared" si="9"/>
        <v>8.5253456221198149</v>
      </c>
      <c r="Q9" s="7">
        <f t="shared" si="1"/>
        <v>8.5253456221198149</v>
      </c>
      <c r="R9" s="6">
        <f t="shared" si="5"/>
        <v>1.2179065174456878</v>
      </c>
      <c r="U9" t="s">
        <v>27</v>
      </c>
      <c r="V9">
        <f>W5</f>
        <v>104</v>
      </c>
    </row>
    <row r="10" spans="1:24" x14ac:dyDescent="0.25">
      <c r="A10" s="14">
        <f t="shared" si="2"/>
        <v>49</v>
      </c>
      <c r="C10" t="s">
        <v>7</v>
      </c>
      <c r="D10" s="23">
        <f t="shared" si="6"/>
        <v>49</v>
      </c>
      <c r="E10">
        <f>291-242</f>
        <v>49</v>
      </c>
      <c r="F10" s="12">
        <f t="shared" si="0"/>
        <v>0.14112903225806453</v>
      </c>
      <c r="I10" s="18">
        <v>43699.022843749997</v>
      </c>
      <c r="J10" s="8">
        <f t="shared" si="7"/>
        <v>43702.308755760372</v>
      </c>
      <c r="K10" s="25">
        <f>IF(COUNT(I10)=1,J10-I10,"Not Done")</f>
        <v>3.2859120103748864</v>
      </c>
      <c r="M10" s="7">
        <f t="shared" si="4"/>
        <v>43.308755760372151</v>
      </c>
      <c r="N10" s="7">
        <f t="shared" si="8"/>
        <v>6.1869651086245927</v>
      </c>
      <c r="O10" s="7"/>
      <c r="P10" s="23">
        <f t="shared" si="9"/>
        <v>10.443548387096776</v>
      </c>
      <c r="Q10" s="7">
        <f t="shared" si="1"/>
        <v>10.443548387096776</v>
      </c>
      <c r="R10" s="6">
        <f t="shared" si="5"/>
        <v>1.491935483870968</v>
      </c>
    </row>
    <row r="11" spans="1:24" x14ac:dyDescent="0.25">
      <c r="A11" s="14">
        <f t="shared" si="2"/>
        <v>25</v>
      </c>
      <c r="C11" t="s">
        <v>8</v>
      </c>
      <c r="D11" s="23">
        <f t="shared" si="6"/>
        <v>25</v>
      </c>
      <c r="E11">
        <f>328-303</f>
        <v>25</v>
      </c>
      <c r="F11" s="12">
        <f t="shared" si="0"/>
        <v>7.2004608294930883E-2</v>
      </c>
      <c r="I11" s="18">
        <v>43702.796877777779</v>
      </c>
      <c r="J11" s="8">
        <f t="shared" si="7"/>
        <v>43707.637096774197</v>
      </c>
      <c r="K11" s="25">
        <f>IF(COUNT(I11)=1,J11-I11,"Not Done")</f>
        <v>4.8402189964181161</v>
      </c>
      <c r="M11" s="7">
        <f t="shared" si="4"/>
        <v>48.637096774196834</v>
      </c>
      <c r="N11" s="7">
        <f t="shared" si="8"/>
        <v>6.9481566820281193</v>
      </c>
      <c r="O11" s="7"/>
      <c r="P11" s="23">
        <f t="shared" si="9"/>
        <v>5.3283410138248852</v>
      </c>
      <c r="Q11" s="7">
        <f t="shared" si="1"/>
        <v>5.3283410138248852</v>
      </c>
      <c r="R11" s="6">
        <f t="shared" si="5"/>
        <v>0.76119157340355503</v>
      </c>
    </row>
    <row r="12" spans="1:24" x14ac:dyDescent="0.25">
      <c r="A12" s="14">
        <f t="shared" si="2"/>
        <v>29</v>
      </c>
      <c r="C12" t="s">
        <v>9</v>
      </c>
      <c r="D12" s="23">
        <f t="shared" si="6"/>
        <v>29</v>
      </c>
      <c r="E12">
        <f>363-334</f>
        <v>29</v>
      </c>
      <c r="F12" s="12">
        <f t="shared" si="0"/>
        <v>8.3525345622119815E-2</v>
      </c>
      <c r="I12" s="18">
        <v>43709.681617361108</v>
      </c>
      <c r="J12" s="8">
        <f t="shared" si="7"/>
        <v>43713.817972350233</v>
      </c>
      <c r="K12" s="25">
        <f>IF(COUNT(I12)=1,J12-I12,"Not Done")</f>
        <v>4.1363549891248113</v>
      </c>
      <c r="M12" s="7">
        <f t="shared" si="4"/>
        <v>54.817972350232594</v>
      </c>
      <c r="N12" s="7">
        <f t="shared" si="8"/>
        <v>7.8311389071760846</v>
      </c>
      <c r="O12" s="7"/>
      <c r="P12" s="23">
        <f t="shared" si="9"/>
        <v>6.1808755760368665</v>
      </c>
      <c r="Q12" s="7">
        <f t="shared" si="1"/>
        <v>6.1808755760368665</v>
      </c>
      <c r="R12" s="6">
        <f t="shared" si="5"/>
        <v>0.88298222514812374</v>
      </c>
      <c r="U12" t="s">
        <v>41</v>
      </c>
      <c r="V12" s="18">
        <f ca="1">NOW()</f>
        <v>43724.0247318287</v>
      </c>
    </row>
    <row r="13" spans="1:24" x14ac:dyDescent="0.25">
      <c r="A13" s="14">
        <f t="shared" si="2"/>
        <v>25</v>
      </c>
      <c r="C13" t="s">
        <v>10</v>
      </c>
      <c r="D13" s="23">
        <f t="shared" si="6"/>
        <v>25</v>
      </c>
      <c r="E13">
        <f>422-397</f>
        <v>25</v>
      </c>
      <c r="F13" s="12">
        <f t="shared" si="0"/>
        <v>7.2004608294930883E-2</v>
      </c>
      <c r="I13" s="18">
        <v>43715.008793171299</v>
      </c>
      <c r="J13" s="8">
        <f t="shared" si="7"/>
        <v>43719.146313364057</v>
      </c>
      <c r="K13" s="25">
        <f>IF(COUNT(I13)=1,J13-I13,"Not Done")</f>
        <v>4.1375201927585294</v>
      </c>
      <c r="M13" s="7">
        <f t="shared" si="4"/>
        <v>60.146313364057278</v>
      </c>
      <c r="N13" s="7">
        <f t="shared" si="8"/>
        <v>8.5923304805796104</v>
      </c>
      <c r="O13" s="7"/>
      <c r="P13" s="23">
        <f t="shared" si="9"/>
        <v>5.3283410138248852</v>
      </c>
      <c r="Q13" s="7">
        <f t="shared" si="1"/>
        <v>5.3283410138248852</v>
      </c>
      <c r="R13" s="6">
        <f t="shared" si="5"/>
        <v>0.76119157340355503</v>
      </c>
      <c r="U13" s="17" t="s">
        <v>50</v>
      </c>
      <c r="V13" s="28">
        <f ca="1">V12-V2</f>
        <v>65.024731828700169</v>
      </c>
      <c r="W13" s="17"/>
      <c r="X13" s="17"/>
    </row>
    <row r="14" spans="1:24" x14ac:dyDescent="0.25">
      <c r="F14" s="12"/>
      <c r="J14" s="8"/>
      <c r="K14" s="26"/>
      <c r="M14" s="7"/>
      <c r="N14" s="7"/>
      <c r="O14" s="7"/>
      <c r="P14" s="23"/>
      <c r="Q14" s="7"/>
      <c r="R14" s="6"/>
      <c r="U14" s="17"/>
      <c r="V14" s="17"/>
      <c r="W14" s="17"/>
      <c r="X14" s="17"/>
    </row>
    <row r="15" spans="1:24" x14ac:dyDescent="0.25">
      <c r="A15" s="14">
        <f>SUM(A16:A21)</f>
        <v>69</v>
      </c>
      <c r="C15" s="4" t="s">
        <v>11</v>
      </c>
      <c r="D15" s="4"/>
      <c r="E15" s="4">
        <f>SUM(E16:E21)</f>
        <v>73</v>
      </c>
      <c r="F15" s="20">
        <f t="shared" ref="F15:F21" si="10">A15/$A$29</f>
        <v>0.19873271889400923</v>
      </c>
      <c r="G15" s="20"/>
      <c r="H15" s="4"/>
      <c r="I15" s="4"/>
      <c r="J15" s="21"/>
      <c r="K15" s="27"/>
      <c r="L15" s="4"/>
      <c r="M15" s="10"/>
      <c r="N15" s="10"/>
      <c r="O15" s="10"/>
      <c r="P15" s="24"/>
      <c r="Q15" s="10">
        <f t="shared" ref="Q15:Q21" si="11">F15*$V$7</f>
        <v>14.706221198156683</v>
      </c>
      <c r="R15" s="11">
        <f t="shared" si="5"/>
        <v>2.1008887425938121</v>
      </c>
      <c r="W15" s="17"/>
      <c r="X15" s="17"/>
    </row>
    <row r="16" spans="1:24" x14ac:dyDescent="0.25">
      <c r="A16" s="14">
        <f t="shared" si="2"/>
        <v>4</v>
      </c>
      <c r="C16" t="s">
        <v>12</v>
      </c>
      <c r="D16" s="23">
        <f t="shared" ref="D16:D21" si="12">E16</f>
        <v>8</v>
      </c>
      <c r="E16">
        <f>13-5</f>
        <v>8</v>
      </c>
      <c r="F16" s="12">
        <f t="shared" si="10"/>
        <v>1.1520737327188941E-2</v>
      </c>
      <c r="G16" s="13">
        <v>-0.5</v>
      </c>
      <c r="I16" s="1">
        <v>43670</v>
      </c>
      <c r="J16" s="8">
        <f>$J$26+Q16</f>
        <v>43669.273041474655</v>
      </c>
      <c r="K16" s="25">
        <f t="shared" ref="K16:K21" si="13">IF(COUNT(I16)=1,J16-I16,"Not Done")</f>
        <v>-0.72695852534525329</v>
      </c>
      <c r="M16" s="7">
        <f t="shared" ref="M16:M21" si="14">J16-$V$2</f>
        <v>10.273041474654747</v>
      </c>
      <c r="N16" s="7">
        <f t="shared" si="8"/>
        <v>1.4675773535221066</v>
      </c>
      <c r="O16" s="7"/>
      <c r="P16" s="23">
        <f t="shared" si="9"/>
        <v>0.85253456221198165</v>
      </c>
      <c r="Q16" s="7">
        <f t="shared" si="11"/>
        <v>0.85253456221198165</v>
      </c>
      <c r="R16" s="6">
        <f t="shared" si="5"/>
        <v>0.12179065174456881</v>
      </c>
      <c r="U16" s="17"/>
      <c r="V16" s="17" t="s">
        <v>49</v>
      </c>
      <c r="W16" s="17"/>
      <c r="X16" s="17"/>
    </row>
    <row r="17" spans="1:24" x14ac:dyDescent="0.25">
      <c r="A17" s="14">
        <f t="shared" si="2"/>
        <v>16</v>
      </c>
      <c r="C17" t="s">
        <v>2</v>
      </c>
      <c r="D17" s="23">
        <f t="shared" si="12"/>
        <v>16</v>
      </c>
      <c r="E17">
        <f>29-13</f>
        <v>16</v>
      </c>
      <c r="F17" s="12">
        <f t="shared" si="10"/>
        <v>4.6082949308755762E-2</v>
      </c>
      <c r="I17" s="18">
        <v>43717.008606597221</v>
      </c>
      <c r="J17" s="8">
        <f>$J$13+Q17</f>
        <v>43722.556451612902</v>
      </c>
      <c r="K17" s="25">
        <f t="shared" si="13"/>
        <v>5.5478450156806502</v>
      </c>
      <c r="M17" s="7">
        <f t="shared" si="14"/>
        <v>63.556451612901583</v>
      </c>
      <c r="N17" s="7">
        <f t="shared" si="8"/>
        <v>9.0794930875573687</v>
      </c>
      <c r="O17" s="7"/>
      <c r="P17" s="23">
        <f t="shared" si="9"/>
        <v>3.4101382488479266</v>
      </c>
      <c r="Q17" s="7">
        <f t="shared" si="11"/>
        <v>3.4101382488479266</v>
      </c>
      <c r="R17" s="6">
        <f t="shared" si="5"/>
        <v>0.48716260697827524</v>
      </c>
      <c r="U17" t="s">
        <v>21</v>
      </c>
      <c r="V17" s="29">
        <f ca="1">V3-$V$12</f>
        <v>6.975268171299831</v>
      </c>
      <c r="W17" s="17"/>
      <c r="X17" s="17"/>
    </row>
    <row r="18" spans="1:24" x14ac:dyDescent="0.25">
      <c r="A18" s="14">
        <f t="shared" si="2"/>
        <v>8</v>
      </c>
      <c r="C18" t="s">
        <v>13</v>
      </c>
      <c r="D18" s="23">
        <f t="shared" si="12"/>
        <v>8</v>
      </c>
      <c r="E18">
        <f>37-29</f>
        <v>8</v>
      </c>
      <c r="F18" s="12">
        <f t="shared" si="10"/>
        <v>2.3041474654377881E-2</v>
      </c>
      <c r="I18" s="18">
        <v>43720.001449768519</v>
      </c>
      <c r="J18" s="8">
        <f>J17+Q18</f>
        <v>43724.261520737324</v>
      </c>
      <c r="K18" s="25">
        <f t="shared" si="13"/>
        <v>4.2600709688049392</v>
      </c>
      <c r="M18" s="7">
        <f t="shared" si="14"/>
        <v>65.261520737323735</v>
      </c>
      <c r="N18" s="7">
        <f t="shared" si="8"/>
        <v>9.3230743910462479</v>
      </c>
      <c r="O18" s="7"/>
      <c r="P18" s="23">
        <f t="shared" si="9"/>
        <v>1.7050691244239633</v>
      </c>
      <c r="Q18" s="7">
        <f t="shared" si="11"/>
        <v>1.7050691244239633</v>
      </c>
      <c r="R18" s="6">
        <f t="shared" si="5"/>
        <v>0.24358130348913762</v>
      </c>
      <c r="U18" t="s">
        <v>37</v>
      </c>
      <c r="V18" s="29">
        <f ca="1">V4-$V$12</f>
        <v>8.975268171299831</v>
      </c>
      <c r="W18" s="17"/>
      <c r="X18" s="17"/>
    </row>
    <row r="19" spans="1:24" x14ac:dyDescent="0.25">
      <c r="A19" s="14">
        <f t="shared" si="2"/>
        <v>24</v>
      </c>
      <c r="C19" t="s">
        <v>42</v>
      </c>
      <c r="D19" s="23">
        <f t="shared" si="12"/>
        <v>24</v>
      </c>
      <c r="E19">
        <f>62-37-(1)</f>
        <v>24</v>
      </c>
      <c r="F19" s="12">
        <f t="shared" si="10"/>
        <v>6.9124423963133647E-2</v>
      </c>
      <c r="I19" s="18">
        <v>43723.877692824077</v>
      </c>
      <c r="J19" s="8">
        <f>J18+Q19</f>
        <v>43729.376728110597</v>
      </c>
      <c r="K19" s="25">
        <f t="shared" si="13"/>
        <v>5.499035286520666</v>
      </c>
      <c r="M19" s="7">
        <f t="shared" si="14"/>
        <v>70.376728110597469</v>
      </c>
      <c r="N19" s="7">
        <f t="shared" si="8"/>
        <v>10.053818301513925</v>
      </c>
      <c r="O19" s="7"/>
      <c r="P19" s="23">
        <f t="shared" si="9"/>
        <v>5.1152073732718897</v>
      </c>
      <c r="Q19" s="7">
        <f t="shared" si="11"/>
        <v>5.1152073732718897</v>
      </c>
      <c r="R19" s="6">
        <f t="shared" si="5"/>
        <v>0.73074391046741283</v>
      </c>
      <c r="U19" t="s">
        <v>22</v>
      </c>
      <c r="V19" s="29">
        <f ca="1">V5-$V$12</f>
        <v>38.975268171299831</v>
      </c>
      <c r="W19" s="17"/>
      <c r="X19" s="17"/>
    </row>
    <row r="20" spans="1:24" x14ac:dyDescent="0.25">
      <c r="A20" s="14">
        <f t="shared" si="2"/>
        <v>7</v>
      </c>
      <c r="C20" t="s">
        <v>14</v>
      </c>
      <c r="D20" s="23">
        <f t="shared" si="12"/>
        <v>7</v>
      </c>
      <c r="E20">
        <f>69-62</f>
        <v>7</v>
      </c>
      <c r="F20" s="12">
        <f t="shared" si="10"/>
        <v>2.0161290322580645E-2</v>
      </c>
      <c r="I20" s="18">
        <v>43723.977998842594</v>
      </c>
      <c r="J20" s="8">
        <f>J19+Q20</f>
        <v>43730.868663594469</v>
      </c>
      <c r="K20" s="25">
        <f t="shared" si="13"/>
        <v>6.890664751874283</v>
      </c>
      <c r="M20" s="7">
        <f t="shared" si="14"/>
        <v>71.868663594468671</v>
      </c>
      <c r="N20" s="7">
        <f t="shared" si="8"/>
        <v>10.266951942066953</v>
      </c>
      <c r="O20" s="7"/>
      <c r="P20" s="23">
        <f t="shared" si="9"/>
        <v>1.4919354838709677</v>
      </c>
      <c r="Q20" s="7">
        <f t="shared" si="11"/>
        <v>1.4919354838709677</v>
      </c>
      <c r="R20" s="6">
        <f t="shared" si="5"/>
        <v>0.21313364055299538</v>
      </c>
      <c r="U20" s="17"/>
      <c r="V20" s="17"/>
      <c r="W20" s="17"/>
      <c r="X20" s="17"/>
    </row>
    <row r="21" spans="1:24" x14ac:dyDescent="0.25">
      <c r="A21" s="14">
        <f t="shared" si="2"/>
        <v>10</v>
      </c>
      <c r="C21" t="s">
        <v>15</v>
      </c>
      <c r="D21" s="23">
        <f t="shared" si="12"/>
        <v>10</v>
      </c>
      <c r="E21">
        <f>79-69</f>
        <v>10</v>
      </c>
      <c r="F21" s="12">
        <f t="shared" si="10"/>
        <v>2.880184331797235E-2</v>
      </c>
      <c r="I21" s="18">
        <v>43724.024185300928</v>
      </c>
      <c r="J21" s="8">
        <f>J20+Q21</f>
        <v>43733</v>
      </c>
      <c r="K21" s="25">
        <f t="shared" si="13"/>
        <v>8.9758146990716341</v>
      </c>
      <c r="M21" s="7">
        <f t="shared" si="14"/>
        <v>74</v>
      </c>
      <c r="N21" s="7">
        <f t="shared" si="8"/>
        <v>10.571428571428571</v>
      </c>
      <c r="O21" s="7"/>
      <c r="P21" s="23">
        <f t="shared" si="9"/>
        <v>2.1313364055299537</v>
      </c>
      <c r="Q21" s="7">
        <f t="shared" si="11"/>
        <v>2.1313364055299537</v>
      </c>
      <c r="R21" s="6">
        <f t="shared" si="5"/>
        <v>0.30447662936142195</v>
      </c>
      <c r="U21" s="17"/>
      <c r="V21" s="17"/>
      <c r="W21" s="17"/>
      <c r="X21" s="17"/>
    </row>
    <row r="22" spans="1:24" x14ac:dyDescent="0.25">
      <c r="D22" s="23"/>
      <c r="F22" s="12"/>
      <c r="J22" s="8"/>
      <c r="K22" s="26"/>
      <c r="M22" s="7"/>
      <c r="N22" s="7"/>
      <c r="O22" s="7"/>
      <c r="P22" s="23"/>
      <c r="Q22" s="7"/>
      <c r="R22" s="6"/>
      <c r="U22" s="17"/>
      <c r="V22" s="17"/>
      <c r="W22" s="17"/>
      <c r="X22" s="17"/>
    </row>
    <row r="23" spans="1:24" x14ac:dyDescent="0.25">
      <c r="A23" s="14">
        <f>SUM(A24:A26)</f>
        <v>44.199999999999996</v>
      </c>
      <c r="C23" s="4" t="s">
        <v>16</v>
      </c>
      <c r="D23" s="24"/>
      <c r="E23" s="4">
        <f>SUM(E24:E26)</f>
        <v>126</v>
      </c>
      <c r="F23" s="20">
        <f>A23/$A$29</f>
        <v>0.12730414746543778</v>
      </c>
      <c r="G23" s="20"/>
      <c r="H23" s="4"/>
      <c r="I23" s="4"/>
      <c r="J23" s="21"/>
      <c r="K23" s="27"/>
      <c r="L23" s="4"/>
      <c r="M23" s="10"/>
      <c r="N23" s="10"/>
      <c r="O23" s="10"/>
      <c r="P23" s="24"/>
      <c r="Q23" s="10">
        <f>F23*$V$7</f>
        <v>9.420506912442395</v>
      </c>
      <c r="R23" s="11">
        <f t="shared" si="5"/>
        <v>1.3457867017774849</v>
      </c>
      <c r="T23" s="17"/>
      <c r="U23" s="17"/>
      <c r="V23" s="17"/>
      <c r="W23" s="17"/>
      <c r="X23" s="17"/>
    </row>
    <row r="24" spans="1:24" x14ac:dyDescent="0.25">
      <c r="A24" s="14">
        <f t="shared" si="2"/>
        <v>5.7000000000000011</v>
      </c>
      <c r="C24" t="s">
        <v>17</v>
      </c>
      <c r="D24" s="23">
        <f>E24</f>
        <v>38</v>
      </c>
      <c r="E24">
        <f>40-2</f>
        <v>38</v>
      </c>
      <c r="F24" s="12">
        <f>A24/$A$29</f>
        <v>1.6417050691244245E-2</v>
      </c>
      <c r="G24" s="13">
        <v>-0.85</v>
      </c>
      <c r="I24" s="1">
        <v>43660</v>
      </c>
      <c r="J24" s="8">
        <f>$V$2+SUM($Q$24:Q24)</f>
        <v>43660.214861751156</v>
      </c>
      <c r="K24" s="25">
        <f>IF(COUNT(I24)=1,J24-I24,"Not Done")</f>
        <v>0.21486175115569495</v>
      </c>
      <c r="M24" s="7">
        <f>J24-$V$2</f>
        <v>1.2148617511556949</v>
      </c>
      <c r="N24" s="7">
        <f t="shared" si="8"/>
        <v>0.17355167873652785</v>
      </c>
      <c r="O24" s="7"/>
      <c r="P24" s="23">
        <f t="shared" si="9"/>
        <v>1.2148617511520741</v>
      </c>
      <c r="Q24" s="7">
        <f>F24*$V$7</f>
        <v>1.2148617511520741</v>
      </c>
      <c r="R24" s="6">
        <f t="shared" si="5"/>
        <v>0.17355167873601057</v>
      </c>
      <c r="U24" s="19"/>
      <c r="V24" s="17"/>
      <c r="W24" s="17"/>
      <c r="X24" s="17"/>
    </row>
    <row r="25" spans="1:24" x14ac:dyDescent="0.25">
      <c r="A25" s="14">
        <f t="shared" si="2"/>
        <v>6.3000000000000007</v>
      </c>
      <c r="C25" t="s">
        <v>18</v>
      </c>
      <c r="D25" s="23">
        <f>E25</f>
        <v>42</v>
      </c>
      <c r="E25">
        <f>82-40</f>
        <v>42</v>
      </c>
      <c r="F25" s="12">
        <f>A25/$A$29</f>
        <v>1.8145161290322582E-2</v>
      </c>
      <c r="G25" s="13">
        <v>-0.85</v>
      </c>
      <c r="I25" s="1">
        <v>43661</v>
      </c>
      <c r="J25" s="8">
        <f>$V$2+SUM($Q$24:Q25)</f>
        <v>43661.557603686633</v>
      </c>
      <c r="K25" s="25">
        <f>IF(COUNT(I25)=1,J25-I25,"Not Done")</f>
        <v>0.55760368663322879</v>
      </c>
      <c r="M25" s="7">
        <f>J25-$V$2</f>
        <v>2.5576036866332288</v>
      </c>
      <c r="N25" s="7">
        <f t="shared" si="8"/>
        <v>0.36537195523331839</v>
      </c>
      <c r="O25" s="7"/>
      <c r="P25" s="23">
        <f t="shared" si="9"/>
        <v>1.342741935483871</v>
      </c>
      <c r="Q25" s="7">
        <f>F25*$V$7</f>
        <v>1.342741935483871</v>
      </c>
      <c r="R25" s="6">
        <f t="shared" si="5"/>
        <v>0.19182027649769587</v>
      </c>
      <c r="U25" s="17" t="s">
        <v>46</v>
      </c>
      <c r="V25" s="17"/>
      <c r="W25" s="17"/>
      <c r="X25" s="17"/>
    </row>
    <row r="26" spans="1:24" x14ac:dyDescent="0.25">
      <c r="A26" s="14">
        <f t="shared" si="2"/>
        <v>32.199999999999996</v>
      </c>
      <c r="C26" t="s">
        <v>19</v>
      </c>
      <c r="D26" s="23">
        <f>E26</f>
        <v>46</v>
      </c>
      <c r="E26">
        <f>139-125+121-115+108-82</f>
        <v>46</v>
      </c>
      <c r="F26" s="12">
        <f>A26/$A$29</f>
        <v>9.2741935483870955E-2</v>
      </c>
      <c r="G26" s="13">
        <v>-0.3</v>
      </c>
      <c r="I26" s="1">
        <v>43668.559701492537</v>
      </c>
      <c r="J26" s="8">
        <f>$V$2+SUM($Q$24:Q26)</f>
        <v>43668.420506912444</v>
      </c>
      <c r="K26" s="25">
        <f>IF(COUNT(I26)=1,J26-I26,"Not Done")</f>
        <v>-0.1391945800933172</v>
      </c>
      <c r="M26" s="7">
        <f>J26-$V$2</f>
        <v>9.4205069124436704</v>
      </c>
      <c r="N26" s="7">
        <f t="shared" si="8"/>
        <v>1.3457867017776672</v>
      </c>
      <c r="O26" s="7"/>
      <c r="P26" s="23">
        <f t="shared" si="9"/>
        <v>6.8629032258064511</v>
      </c>
      <c r="Q26" s="7">
        <f>F26*$V$7</f>
        <v>6.8629032258064511</v>
      </c>
      <c r="R26" s="6">
        <f t="shared" si="5"/>
        <v>0.98041474654377869</v>
      </c>
      <c r="U26" s="19"/>
      <c r="V26" s="17"/>
      <c r="W26" s="17"/>
      <c r="X26" s="17"/>
    </row>
    <row r="27" spans="1:24" x14ac:dyDescent="0.25">
      <c r="F27" s="12"/>
      <c r="J27" s="8"/>
      <c r="Q27" s="7"/>
      <c r="R27" s="6"/>
      <c r="S27" t="s">
        <v>46</v>
      </c>
      <c r="U27" s="17"/>
      <c r="V27" s="17"/>
      <c r="W27" s="17"/>
      <c r="X27" s="17"/>
    </row>
    <row r="28" spans="1:24" x14ac:dyDescent="0.25">
      <c r="E28" s="3"/>
      <c r="F28" s="12"/>
      <c r="G28" s="12"/>
      <c r="H28" s="3"/>
      <c r="I28" s="3"/>
      <c r="J28" s="8"/>
      <c r="Q28" s="7"/>
      <c r="R28" s="6"/>
      <c r="U28" s="17"/>
      <c r="V28" s="17"/>
      <c r="W28" s="17"/>
      <c r="X28" s="17"/>
    </row>
    <row r="29" spans="1:24" x14ac:dyDescent="0.25">
      <c r="A29" s="15">
        <f>SUM(A2,A15,A23)</f>
        <v>347.2</v>
      </c>
      <c r="C29" s="5" t="s">
        <v>26</v>
      </c>
      <c r="E29" s="3">
        <f>SUM(E2,E15,E23)</f>
        <v>506</v>
      </c>
      <c r="F29" s="12">
        <f>SUM(F3:F13,F16:F21,F24:F26)</f>
        <v>1.0000000000000002</v>
      </c>
      <c r="G29" s="12"/>
      <c r="H29" s="3"/>
      <c r="I29" s="3"/>
      <c r="Q29" s="7">
        <f>F29*$V$7</f>
        <v>74.000000000000014</v>
      </c>
      <c r="R29" s="6">
        <f t="shared" si="5"/>
        <v>10.571428571428573</v>
      </c>
      <c r="W29" s="17"/>
      <c r="X29" s="17"/>
    </row>
    <row r="30" spans="1:24" x14ac:dyDescent="0.25">
      <c r="K30" s="9"/>
      <c r="U30" s="17"/>
      <c r="V30" s="17"/>
      <c r="W30" s="17"/>
      <c r="X30" s="17"/>
    </row>
    <row r="31" spans="1:24" x14ac:dyDescent="0.25">
      <c r="K31" s="9"/>
      <c r="U31" s="17"/>
      <c r="V31" s="17"/>
      <c r="W31" s="17"/>
      <c r="X31" s="17"/>
    </row>
    <row r="32" spans="1:24" x14ac:dyDescent="0.25">
      <c r="C32" s="16"/>
      <c r="K32" s="9"/>
      <c r="U32" s="17"/>
      <c r="V32" s="17"/>
      <c r="W32" s="17"/>
      <c r="X32" s="17"/>
    </row>
    <row r="33" spans="3:24" x14ac:dyDescent="0.25">
      <c r="C33" s="5" t="s">
        <v>39</v>
      </c>
      <c r="E33" s="31">
        <f>SUMIF(K3:K26,"&gt;-10000",P3:P26)/V7</f>
        <v>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3"/>
      <c r="U33" s="17"/>
      <c r="V33" s="17"/>
      <c r="W33" s="17"/>
      <c r="X33" s="17"/>
    </row>
    <row r="34" spans="3:24" ht="5.25" customHeight="1" x14ac:dyDescent="0.25">
      <c r="U34" s="17"/>
      <c r="V34" s="17"/>
      <c r="W34" s="17"/>
      <c r="X34" s="17"/>
    </row>
    <row r="35" spans="3:24" x14ac:dyDescent="0.25">
      <c r="C35" s="5" t="s">
        <v>40</v>
      </c>
      <c r="E35" s="31">
        <f ca="1">1-(V4-V12)/V7</f>
        <v>0.87871259227973197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</row>
    <row r="36" spans="3:24" ht="5.25" customHeight="1" x14ac:dyDescent="0.25"/>
    <row r="37" spans="3:24" x14ac:dyDescent="0.25">
      <c r="C37" s="5" t="s">
        <v>43</v>
      </c>
      <c r="E37" s="34">
        <f>1-(V4-V3)/V7</f>
        <v>0.97297297297297303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3:24" x14ac:dyDescent="0.25">
      <c r="C38" s="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3:24" x14ac:dyDescent="0.25">
      <c r="C39" s="5" t="s">
        <v>45</v>
      </c>
      <c r="E39" s="34">
        <f ca="1">(V12-I20)/(Q21)</f>
        <v>2.1926611859360838E-2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U39" s="1">
        <f>I20+Q21</f>
        <v>43726.109335248126</v>
      </c>
    </row>
    <row r="40" spans="3:24" ht="6" customHeight="1" x14ac:dyDescent="0.25"/>
    <row r="41" spans="3:24" x14ac:dyDescent="0.25">
      <c r="C41" s="5" t="s">
        <v>44</v>
      </c>
      <c r="E41" s="34">
        <f ca="1">(E33-E35)/(E33+E35)*2</f>
        <v>0.129117575747008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3" spans="3:24" x14ac:dyDescent="0.25">
      <c r="C43" s="5" t="s">
        <v>51</v>
      </c>
      <c r="E43" s="31">
        <f>SUMIF(K3:K26,"&gt;-10000",D3:D26)/E29</f>
        <v>1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</row>
  </sheetData>
  <mergeCells count="6">
    <mergeCell ref="E43:R43"/>
    <mergeCell ref="E33:R33"/>
    <mergeCell ref="E35:R35"/>
    <mergeCell ref="E37:R37"/>
    <mergeCell ref="E41:R41"/>
    <mergeCell ref="E39:R39"/>
  </mergeCells>
  <conditionalFormatting sqref="K3:K13 K16:K21 K24:K26">
    <cfRule type="cellIs" dxfId="2" priority="15" operator="lessThan">
      <formula>0</formula>
    </cfRule>
    <cfRule type="cellIs" dxfId="1" priority="16" operator="greaterThanOrEqual">
      <formula>0</formula>
    </cfRule>
  </conditionalFormatting>
  <conditionalFormatting sqref="K3:K13 K16:K21 K24:K26">
    <cfRule type="containsText" dxfId="0" priority="14" operator="containsText" text="Not">
      <formula>NOT(ISERROR(SEARCH("Not",K3)))</formula>
    </cfRule>
  </conditionalFormatting>
  <conditionalFormatting sqref="E33">
    <cfRule type="dataBar" priority="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{509F2D8D-2176-45D5-9780-2068306C2604}</x14:id>
        </ext>
      </extLst>
    </cfRule>
  </conditionalFormatting>
  <conditionalFormatting sqref="E35:R35">
    <cfRule type="dataBar" priority="7">
      <dataBar>
        <cfvo type="num" val="0"/>
        <cfvo type="num" val="1"/>
        <color rgb="FFFF555A"/>
      </dataBar>
      <extLst>
        <ext xmlns:x14="http://schemas.microsoft.com/office/spreadsheetml/2009/9/main" uri="{B025F937-C7B1-47D3-B67F-A62EFF666E3E}">
          <x14:id>{CDE9A413-9F67-40D8-B42B-5CE2FD967701}</x14:id>
        </ext>
      </extLst>
    </cfRule>
  </conditionalFormatting>
  <conditionalFormatting sqref="E39:R39">
    <cfRule type="dataBar" priority="5">
      <dataBar>
        <cfvo type="num" val="0"/>
        <cfvo type="num" val="1"/>
        <color rgb="FFFFB628"/>
      </dataBar>
      <extLst>
        <ext xmlns:x14="http://schemas.microsoft.com/office/spreadsheetml/2009/9/main" uri="{B025F937-C7B1-47D3-B67F-A62EFF666E3E}">
          <x14:id>{84505C6D-4B7F-414C-B9D3-0D3D559889E8}</x14:id>
        </ext>
      </extLst>
    </cfRule>
  </conditionalFormatting>
  <conditionalFormatting sqref="E41:R41">
    <cfRule type="dataBar" priority="3">
      <dataBar>
        <cfvo type="num" val="-1"/>
        <cfvo type="num" val="1"/>
        <color rgb="FF00B050"/>
      </dataBar>
      <extLst>
        <ext xmlns:x14="http://schemas.microsoft.com/office/spreadsheetml/2009/9/main" uri="{B025F937-C7B1-47D3-B67F-A62EFF666E3E}">
          <x14:id>{3945FB03-4827-4E7F-8EF2-F6392483A5C8}</x14:id>
        </ext>
      </extLst>
    </cfRule>
  </conditionalFormatting>
  <conditionalFormatting sqref="E37:R37">
    <cfRule type="dataBar" priority="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{E6FE25CB-4615-4A47-9DAB-99C1CB22EEBB}</x14:id>
        </ext>
      </extLst>
    </cfRule>
  </conditionalFormatting>
  <conditionalFormatting sqref="E43">
    <cfRule type="dataBar" priority="1">
      <dataBar>
        <cfvo type="num" val="0"/>
        <cfvo type="num" val="1"/>
        <color theme="0" tint="-0.499984740745262"/>
      </dataBar>
      <extLst>
        <ext xmlns:x14="http://schemas.microsoft.com/office/spreadsheetml/2009/9/main" uri="{B025F937-C7B1-47D3-B67F-A62EFF666E3E}">
          <x14:id>{25A9974D-8557-4039-8D2C-36A957099793}</x14:id>
        </ext>
      </extLst>
    </cfRule>
  </conditionalFormatting>
  <pageMargins left="0.7" right="0.7" top="0.75" bottom="0.75" header="0.3" footer="0.3"/>
  <pageSetup paperSize="9" orientation="portrait" horizontalDpi="4294967294" verticalDpi="0" r:id="rId1"/>
  <ignoredErrors>
    <ignoredError sqref="W4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9F2D8D-2176-45D5-9780-2068306C2604}">
            <x14:dataBar minLength="0" maxLength="100" border="1" direction="leftToRight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</xm:sqref>
        </x14:conditionalFormatting>
        <x14:conditionalFormatting xmlns:xm="http://schemas.microsoft.com/office/excel/2006/main">
          <x14:cfRule type="dataBar" id="{CDE9A413-9F67-40D8-B42B-5CE2FD96770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555A"/>
              <x14:negativeFillColor rgb="FFFF0000"/>
              <x14:negativeBorderColor rgb="FFFF0000"/>
              <x14:axisColor rgb="FF000000"/>
            </x14:dataBar>
          </x14:cfRule>
          <xm:sqref>E35:R35</xm:sqref>
        </x14:conditionalFormatting>
        <x14:conditionalFormatting xmlns:xm="http://schemas.microsoft.com/office/excel/2006/main">
          <x14:cfRule type="dataBar" id="{84505C6D-4B7F-414C-B9D3-0D3D559889E8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E39:R39</xm:sqref>
        </x14:conditionalFormatting>
        <x14:conditionalFormatting xmlns:xm="http://schemas.microsoft.com/office/excel/2006/main">
          <x14:cfRule type="dataBar" id="{3945FB03-4827-4E7F-8EF2-F6392483A5C8}">
            <x14:dataBar minLength="0" maxLength="100" axisPosition="middle">
              <x14:cfvo type="num">
                <xm:f>-1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E41:R41</xm:sqref>
        </x14:conditionalFormatting>
        <x14:conditionalFormatting xmlns:xm="http://schemas.microsoft.com/office/excel/2006/main">
          <x14:cfRule type="dataBar" id="{E6FE25CB-4615-4A47-9DAB-99C1CB22EEBB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E37:R37</xm:sqref>
        </x14:conditionalFormatting>
        <x14:conditionalFormatting xmlns:xm="http://schemas.microsoft.com/office/excel/2006/main">
          <x14:cfRule type="dataBar" id="{25A9974D-8557-4039-8D2C-36A957099793}">
            <x14:dataBar minLength="0" maxLength="100" border="1" direction="leftToRight" negativeBarBorderColorSameAsPositive="0">
              <x14:cfvo type="num">
                <xm:f>0</xm:f>
              </x14:cfvo>
              <x14:cfvo type="num">
                <xm:f>1</xm:f>
              </x14:cfvo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E43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ACE0-FCED-496C-8D1B-80D7D417376F}">
  <dimension ref="D3:O23"/>
  <sheetViews>
    <sheetView topLeftCell="E1" workbookViewId="0">
      <selection activeCell="AF21" sqref="AF21"/>
    </sheetView>
  </sheetViews>
  <sheetFormatPr defaultRowHeight="15" x14ac:dyDescent="0.25"/>
  <cols>
    <col min="7" max="8" width="9.7109375" style="1" bestFit="1" customWidth="1"/>
    <col min="9" max="9" width="9.7109375" style="1" customWidth="1"/>
    <col min="10" max="10" width="9.7109375" bestFit="1" customWidth="1"/>
    <col min="13" max="15" width="9.7109375" bestFit="1" customWidth="1"/>
  </cols>
  <sheetData>
    <row r="3" spans="4:15" x14ac:dyDescent="0.25">
      <c r="G3" s="4" t="s">
        <v>29</v>
      </c>
      <c r="H3" s="4" t="s">
        <v>31</v>
      </c>
      <c r="I3" s="4"/>
      <c r="J3" s="4" t="s">
        <v>52</v>
      </c>
      <c r="M3" s="1"/>
      <c r="N3" s="1" t="s">
        <v>53</v>
      </c>
      <c r="O3" t="s">
        <v>54</v>
      </c>
    </row>
    <row r="4" spans="4:15" x14ac:dyDescent="0.25">
      <c r="D4">
        <v>1</v>
      </c>
      <c r="F4" s="1" t="str">
        <f>IF(ISERR(SMALL(Sheet1!$I$3:$I$26,D4)),"Predict","Done")</f>
        <v>Done</v>
      </c>
      <c r="G4" s="1">
        <f>IFERROR(SMALL(Sheet1!$I$3:$I$26,D4),"")</f>
        <v>43660</v>
      </c>
      <c r="H4" s="1">
        <f>SMALL(Sheet1!$J$3:$J$26,D4)</f>
        <v>43660.214861751156</v>
      </c>
      <c r="J4" s="30"/>
      <c r="M4" s="1">
        <f>H4</f>
        <v>43660.214861751156</v>
      </c>
      <c r="N4" s="1">
        <f>G4</f>
        <v>43660</v>
      </c>
      <c r="O4" s="1">
        <f>M4</f>
        <v>43660.214861751156</v>
      </c>
    </row>
    <row r="5" spans="4:15" x14ac:dyDescent="0.25">
      <c r="D5">
        <v>2</v>
      </c>
      <c r="F5" s="1" t="str">
        <f>IF(ISERR(SMALL(Sheet1!$I$3:$I$26,D5)),"Predict","Done")</f>
        <v>Done</v>
      </c>
      <c r="G5" s="1">
        <f>IFERROR(SMALL(Sheet1!$I$3:$I$26,D5),"")</f>
        <v>43661</v>
      </c>
      <c r="H5" s="1">
        <f>SMALL(Sheet1!$J$3:$J$26,D5)</f>
        <v>43661.557603686633</v>
      </c>
      <c r="J5" s="30"/>
      <c r="M5" s="1">
        <f t="shared" ref="M5:M23" si="0">H5</f>
        <v>43661.557603686633</v>
      </c>
      <c r="N5" s="1">
        <f t="shared" ref="N5:N23" si="1">G5</f>
        <v>43661</v>
      </c>
      <c r="O5" s="1">
        <f t="shared" ref="O5:O23" si="2">M5</f>
        <v>43661.557603686633</v>
      </c>
    </row>
    <row r="6" spans="4:15" x14ac:dyDescent="0.25">
      <c r="D6">
        <v>3</v>
      </c>
      <c r="F6" s="1" t="str">
        <f>IF(ISERR(SMALL(Sheet1!$I$3:$I$26,D6)),"Predict","Done")</f>
        <v>Done</v>
      </c>
      <c r="G6" s="1">
        <f>IFERROR(SMALL(Sheet1!$I$3:$I$26,D6),J6)</f>
        <v>43668.559701492537</v>
      </c>
      <c r="H6" s="1">
        <f>SMALL(Sheet1!$J$3:$J$26,D6)</f>
        <v>43668.420506912444</v>
      </c>
      <c r="J6" s="30">
        <f t="shared" ref="J6:J19" si="3">(G5-G4)/(H5-H4)*(H6-H5)+G5</f>
        <v>43666.111111111139</v>
      </c>
      <c r="M6" s="1">
        <f t="shared" si="0"/>
        <v>43668.420506912444</v>
      </c>
      <c r="N6" s="1">
        <f t="shared" si="1"/>
        <v>43668.559701492537</v>
      </c>
      <c r="O6" s="1">
        <f t="shared" si="2"/>
        <v>43668.420506912444</v>
      </c>
    </row>
    <row r="7" spans="4:15" x14ac:dyDescent="0.25">
      <c r="D7">
        <v>4</v>
      </c>
      <c r="F7" s="1" t="str">
        <f>IF(ISERR(SMALL(Sheet1!$I$3:$I$26,D7)),"Predict","Done")</f>
        <v>Done</v>
      </c>
      <c r="G7" s="1">
        <f>IFERROR(SMALL(Sheet1!$I$3:$I$26,D7),J7)</f>
        <v>43670</v>
      </c>
      <c r="H7" s="1">
        <f>SMALL(Sheet1!$J$3:$J$26,D7)</f>
        <v>43669.273041474655</v>
      </c>
      <c r="J7" s="30">
        <f t="shared" si="3"/>
        <v>43669.498794845647</v>
      </c>
      <c r="M7" s="1">
        <f t="shared" si="0"/>
        <v>43669.273041474655</v>
      </c>
      <c r="N7" s="1">
        <f t="shared" si="1"/>
        <v>43670</v>
      </c>
      <c r="O7" s="1">
        <f t="shared" si="2"/>
        <v>43669.273041474655</v>
      </c>
    </row>
    <row r="8" spans="4:15" x14ac:dyDescent="0.25">
      <c r="D8">
        <v>5</v>
      </c>
      <c r="F8" s="1" t="str">
        <f>IF(ISERR(SMALL(Sheet1!$I$3:$I$26,D8)),"Predict","Done")</f>
        <v>Done</v>
      </c>
      <c r="G8" s="1">
        <f>IFERROR(SMALL(Sheet1!$I$3:$I$26,D8),J8)</f>
        <v>43671</v>
      </c>
      <c r="H8" s="1">
        <f>SMALL(Sheet1!$J$3:$J$26,D8)</f>
        <v>43670.019009216587</v>
      </c>
      <c r="J8" s="30">
        <f t="shared" si="3"/>
        <v>43671.260261194024</v>
      </c>
      <c r="M8" s="1">
        <f t="shared" si="0"/>
        <v>43670.019009216587</v>
      </c>
      <c r="N8" s="1">
        <f t="shared" si="1"/>
        <v>43671</v>
      </c>
      <c r="O8" s="1">
        <f t="shared" si="2"/>
        <v>43670.019009216587</v>
      </c>
    </row>
    <row r="9" spans="4:15" x14ac:dyDescent="0.25">
      <c r="D9">
        <v>6</v>
      </c>
      <c r="F9" s="1" t="str">
        <f>IF(ISERR(SMALL(Sheet1!$I$3:$I$26,D9)),"Predict","Done")</f>
        <v>Done</v>
      </c>
      <c r="G9" s="1">
        <f>IFERROR(SMALL(Sheet1!$I$3:$I$26,D9),J9)</f>
        <v>43675</v>
      </c>
      <c r="H9" s="1">
        <f>SMALL(Sheet1!$J$3:$J$26,D9)</f>
        <v>43671.830645161288</v>
      </c>
      <c r="J9" s="30">
        <f t="shared" si="3"/>
        <v>43673.428571428587</v>
      </c>
      <c r="M9" s="1">
        <f t="shared" si="0"/>
        <v>43671.830645161288</v>
      </c>
      <c r="N9" s="1">
        <f t="shared" si="1"/>
        <v>43675</v>
      </c>
      <c r="O9" s="1">
        <f t="shared" si="2"/>
        <v>43671.830645161288</v>
      </c>
    </row>
    <row r="10" spans="4:15" x14ac:dyDescent="0.25">
      <c r="D10">
        <v>7</v>
      </c>
      <c r="F10" s="1" t="str">
        <f>IF(ISERR(SMALL(Sheet1!$I$3:$I$26,D10)),"Predict","Done")</f>
        <v>Done</v>
      </c>
      <c r="G10" s="1">
        <f>IFERROR(SMALL(Sheet1!$I$3:$I$26,D10),J10)</f>
        <v>43677</v>
      </c>
      <c r="H10" s="1">
        <f>SMALL(Sheet1!$J$3:$J$26,D10)</f>
        <v>43674.601382488479</v>
      </c>
      <c r="J10" s="30">
        <f t="shared" si="3"/>
        <v>43681.117647058825</v>
      </c>
      <c r="M10" s="1">
        <f t="shared" si="0"/>
        <v>43674.601382488479</v>
      </c>
      <c r="N10" s="1">
        <f t="shared" si="1"/>
        <v>43677</v>
      </c>
      <c r="O10" s="1">
        <f t="shared" si="2"/>
        <v>43674.601382488479</v>
      </c>
    </row>
    <row r="11" spans="4:15" x14ac:dyDescent="0.25">
      <c r="D11">
        <v>8</v>
      </c>
      <c r="F11" s="1" t="str">
        <f>IF(ISERR(SMALL(Sheet1!$I$3:$I$26,D11)),"Predict","Done")</f>
        <v>Done</v>
      </c>
      <c r="G11" s="1">
        <f>IFERROR(SMALL(Sheet1!$I$3:$I$26,D11),J11)</f>
        <v>43680</v>
      </c>
      <c r="H11" s="1">
        <f>SMALL(Sheet1!$J$3:$J$26,D11)</f>
        <v>43677.478686635943</v>
      </c>
      <c r="J11" s="30">
        <f t="shared" si="3"/>
        <v>43679.076923076922</v>
      </c>
      <c r="M11" s="1">
        <f t="shared" si="0"/>
        <v>43677.478686635943</v>
      </c>
      <c r="N11" s="1">
        <f t="shared" si="1"/>
        <v>43680</v>
      </c>
      <c r="O11" s="1">
        <f t="shared" si="2"/>
        <v>43677.478686635943</v>
      </c>
    </row>
    <row r="12" spans="4:15" x14ac:dyDescent="0.25">
      <c r="D12">
        <v>9</v>
      </c>
      <c r="F12" s="1" t="str">
        <f>IF(ISERR(SMALL(Sheet1!$I$3:$I$26,D12)),"Predict","Done")</f>
        <v>Done</v>
      </c>
      <c r="G12" s="1">
        <f>IFERROR(SMALL(Sheet1!$I$3:$I$26,D12),J12)</f>
        <v>43681.047449537036</v>
      </c>
      <c r="H12" s="1">
        <f>SMALL(Sheet1!$J$3:$J$26,D12)</f>
        <v>43680.569124423964</v>
      </c>
      <c r="J12" s="30">
        <f t="shared" si="3"/>
        <v>43683.222222222226</v>
      </c>
      <c r="M12" s="1">
        <f t="shared" si="0"/>
        <v>43680.569124423964</v>
      </c>
      <c r="N12" s="1">
        <f t="shared" si="1"/>
        <v>43681.047449537036</v>
      </c>
      <c r="O12" s="1">
        <f t="shared" si="2"/>
        <v>43680.569124423964</v>
      </c>
    </row>
    <row r="13" spans="4:15" x14ac:dyDescent="0.25">
      <c r="D13">
        <v>10</v>
      </c>
      <c r="F13" s="1" t="str">
        <f>IF(ISERR(SMALL(Sheet1!$I$3:$I$26,D13)),"Predict","Done")</f>
        <v>Done</v>
      </c>
      <c r="G13" s="1">
        <f>IFERROR(SMALL(Sheet1!$I$3:$I$26,D13),J13)</f>
        <v>43681.896244097225</v>
      </c>
      <c r="H13" s="1">
        <f>SMALL(Sheet1!$J$3:$J$26,D13)</f>
        <v>43683.339861751156</v>
      </c>
      <c r="J13" s="30">
        <f t="shared" si="3"/>
        <v>43681.986542225415</v>
      </c>
      <c r="M13" s="1">
        <f t="shared" si="0"/>
        <v>43683.339861751156</v>
      </c>
      <c r="N13" s="1">
        <f t="shared" si="1"/>
        <v>43681.896244097225</v>
      </c>
      <c r="O13" s="1">
        <f t="shared" si="2"/>
        <v>43683.339861751156</v>
      </c>
    </row>
    <row r="14" spans="4:15" x14ac:dyDescent="0.25">
      <c r="D14">
        <v>11</v>
      </c>
      <c r="F14" s="1" t="str">
        <f>IF(ISERR(SMALL(Sheet1!$I$3:$I$26,D14)),"Predict","Done")</f>
        <v>Done</v>
      </c>
      <c r="G14" s="1">
        <f>IFERROR(SMALL(Sheet1!$I$3:$I$26,D14),J14)</f>
        <v>43688.49504386574</v>
      </c>
      <c r="H14" s="1">
        <f>SMALL(Sheet1!$J$3:$J$26,D14)</f>
        <v>43691.865207373274</v>
      </c>
      <c r="J14" s="30">
        <f t="shared" si="3"/>
        <v>43684.507919667034</v>
      </c>
      <c r="M14" s="1">
        <f t="shared" si="0"/>
        <v>43691.865207373274</v>
      </c>
      <c r="N14" s="1">
        <f t="shared" si="1"/>
        <v>43688.49504386574</v>
      </c>
      <c r="O14" s="1">
        <f t="shared" si="2"/>
        <v>43691.865207373274</v>
      </c>
    </row>
    <row r="15" spans="4:15" x14ac:dyDescent="0.25">
      <c r="D15">
        <v>12</v>
      </c>
      <c r="F15" s="1" t="str">
        <f>IF(ISERR(SMALL(Sheet1!$I$3:$I$26,D15)),"Predict","Done")</f>
        <v>Done</v>
      </c>
      <c r="G15" s="1">
        <f>IFERROR(SMALL(Sheet1!$I$3:$I$26,D15),J15)</f>
        <v>43699.022843749997</v>
      </c>
      <c r="H15" s="1">
        <f>SMALL(Sheet1!$J$3:$J$26,D15)</f>
        <v>43702.308755760372</v>
      </c>
      <c r="J15" s="30">
        <f t="shared" si="3"/>
        <v>43696.578573582177</v>
      </c>
      <c r="M15" s="1">
        <f t="shared" si="0"/>
        <v>43702.308755760372</v>
      </c>
      <c r="N15" s="1">
        <f t="shared" si="1"/>
        <v>43699.022843749997</v>
      </c>
      <c r="O15" s="1">
        <f t="shared" si="2"/>
        <v>43702.308755760372</v>
      </c>
    </row>
    <row r="16" spans="4:15" x14ac:dyDescent="0.25">
      <c r="D16">
        <v>13</v>
      </c>
      <c r="F16" s="1" t="str">
        <f>IF(ISERR(SMALL(Sheet1!$I$3:$I$26,D16)),"Predict","Done")</f>
        <v>Done</v>
      </c>
      <c r="G16" s="1">
        <f>IFERROR(SMALL(Sheet1!$I$3:$I$26,D16),J16)</f>
        <v>43702.796877777779</v>
      </c>
      <c r="H16" s="1">
        <f>SMALL(Sheet1!$J$3:$J$26,D16)</f>
        <v>43707.637096774197</v>
      </c>
      <c r="J16" s="30">
        <f t="shared" si="3"/>
        <v>43704.39417022156</v>
      </c>
      <c r="M16" s="1">
        <f t="shared" si="0"/>
        <v>43707.637096774197</v>
      </c>
      <c r="N16" s="1">
        <f t="shared" si="1"/>
        <v>43702.796877777779</v>
      </c>
      <c r="O16" s="1">
        <f t="shared" si="2"/>
        <v>43707.637096774197</v>
      </c>
    </row>
    <row r="17" spans="4:15" x14ac:dyDescent="0.25">
      <c r="D17">
        <v>14</v>
      </c>
      <c r="F17" s="1" t="str">
        <f>IF(ISERR(SMALL(Sheet1!$I$3:$I$26,D17)),"Predict","Done")</f>
        <v>Done</v>
      </c>
      <c r="G17" s="1">
        <f>IFERROR(SMALL(Sheet1!$I$3:$I$26,D17),J17)</f>
        <v>43709.681617361108</v>
      </c>
      <c r="H17" s="1">
        <f>SMALL(Sheet1!$J$3:$J$26,D17)</f>
        <v>43713.817972350233</v>
      </c>
      <c r="J17" s="30">
        <f t="shared" si="3"/>
        <v>43707.174757250003</v>
      </c>
      <c r="M17" s="1">
        <f t="shared" si="0"/>
        <v>43713.817972350233</v>
      </c>
      <c r="N17" s="1">
        <f t="shared" si="1"/>
        <v>43709.681617361108</v>
      </c>
      <c r="O17" s="1">
        <f t="shared" si="2"/>
        <v>43713.817972350233</v>
      </c>
    </row>
    <row r="18" spans="4:15" x14ac:dyDescent="0.25">
      <c r="D18">
        <v>15</v>
      </c>
      <c r="F18" s="1" t="str">
        <f>IF(ISERR(SMALL(Sheet1!$I$3:$I$26,D18)),"Predict","Done")</f>
        <v>Done</v>
      </c>
      <c r="G18" s="1">
        <f>IFERROR(SMALL(Sheet1!$I$3:$I$26,D18),J18)</f>
        <v>43715.008793171299</v>
      </c>
      <c r="H18" s="1">
        <f>SMALL(Sheet1!$J$3:$J$26,D18)</f>
        <v>43719.146313364057</v>
      </c>
      <c r="J18" s="30">
        <f t="shared" si="3"/>
        <v>43715.616737691562</v>
      </c>
      <c r="M18" s="1">
        <f t="shared" si="0"/>
        <v>43719.146313364057</v>
      </c>
      <c r="N18" s="1">
        <f t="shared" si="1"/>
        <v>43715.008793171299</v>
      </c>
      <c r="O18" s="1">
        <f t="shared" si="2"/>
        <v>43719.146313364057</v>
      </c>
    </row>
    <row r="19" spans="4:15" x14ac:dyDescent="0.25">
      <c r="D19">
        <v>16</v>
      </c>
      <c r="F19" s="1" t="str">
        <f>IF(ISERR(SMALL(Sheet1!$I$3:$I$26,D19)),"Predict","Done")</f>
        <v>Done</v>
      </c>
      <c r="G19" s="1">
        <f>IFERROR(SMALL(Sheet1!$I$3:$I$26,D19),J19)</f>
        <v>43717.008606597221</v>
      </c>
      <c r="H19" s="1">
        <f>SMALL(Sheet1!$J$3:$J$26,D19)</f>
        <v>43722.556451612902</v>
      </c>
      <c r="J19" s="30">
        <f t="shared" si="3"/>
        <v>43718.418185689814</v>
      </c>
      <c r="K19" s="1"/>
      <c r="M19" s="1">
        <f t="shared" si="0"/>
        <v>43722.556451612902</v>
      </c>
      <c r="N19" s="1">
        <f t="shared" si="1"/>
        <v>43717.008606597221</v>
      </c>
      <c r="O19" s="1">
        <f t="shared" si="2"/>
        <v>43722.556451612902</v>
      </c>
    </row>
    <row r="20" spans="4:15" x14ac:dyDescent="0.25">
      <c r="D20">
        <v>17</v>
      </c>
      <c r="F20" s="1" t="str">
        <f>IF(ISERR(SMALL(Sheet1!$I$3:$I$26,D20)),"Predict","Done")</f>
        <v>Done</v>
      </c>
      <c r="G20" s="1">
        <f>IFERROR(SMALL(Sheet1!$I$3:$I$26,D20),J20)</f>
        <v>43720.001449768519</v>
      </c>
      <c r="H20" s="1">
        <f>SMALL(Sheet1!$J$3:$J$26,D20)</f>
        <v>43724.261520737324</v>
      </c>
      <c r="J20" s="30">
        <f>(G19-G18)/(H19-H18)*(H20-H19)+G19</f>
        <v>43718.008513310182</v>
      </c>
      <c r="M20" s="1">
        <f t="shared" si="0"/>
        <v>43724.261520737324</v>
      </c>
      <c r="N20" s="1">
        <f t="shared" si="1"/>
        <v>43720.001449768519</v>
      </c>
      <c r="O20" s="1">
        <f t="shared" si="2"/>
        <v>43724.261520737324</v>
      </c>
    </row>
    <row r="21" spans="4:15" x14ac:dyDescent="0.25">
      <c r="D21">
        <v>18</v>
      </c>
      <c r="F21" s="1" t="str">
        <f>IF(ISERR(SMALL(Sheet1!$I$3:$I$26,D21)),"Predict","Done")</f>
        <v>Done</v>
      </c>
      <c r="G21" s="1">
        <f>IFERROR(SMALL(Sheet1!$I$3:$I$26,D21),J21)</f>
        <v>43723.877692824077</v>
      </c>
      <c r="H21" s="1">
        <f>SMALL(Sheet1!$J$3:$J$26,D21)</f>
        <v>43729.376728110597</v>
      </c>
      <c r="J21" s="30">
        <f t="shared" ref="J21:J23" si="4">(G20-G19)/(H20-H19)*(H21-H20)+G20</f>
        <v>43728.979979282427</v>
      </c>
      <c r="M21" s="1">
        <f t="shared" si="0"/>
        <v>43729.376728110597</v>
      </c>
      <c r="N21" s="1">
        <f t="shared" si="1"/>
        <v>43723.877692824077</v>
      </c>
      <c r="O21" s="1">
        <f t="shared" si="2"/>
        <v>43729.376728110597</v>
      </c>
    </row>
    <row r="22" spans="4:15" x14ac:dyDescent="0.25">
      <c r="D22">
        <v>19</v>
      </c>
      <c r="F22" s="1" t="str">
        <f>IF(ISERR(SMALL(Sheet1!$I$3:$I$26,D22)),"Predict","Done")</f>
        <v>Done</v>
      </c>
      <c r="G22" s="1">
        <f>IFERROR(SMALL(Sheet1!$I$3:$I$26,D22),J22)</f>
        <v>43723.977998842594</v>
      </c>
      <c r="H22" s="1">
        <f>SMALL(Sheet1!$J$3:$J$26,D22)</f>
        <v>43730.868663594469</v>
      </c>
      <c r="J22" s="30">
        <f t="shared" si="4"/>
        <v>43725.008263715281</v>
      </c>
      <c r="M22" s="1">
        <f t="shared" si="0"/>
        <v>43730.868663594469</v>
      </c>
      <c r="N22" s="1">
        <f t="shared" si="1"/>
        <v>43723.977998842594</v>
      </c>
      <c r="O22" s="1">
        <f t="shared" si="2"/>
        <v>43730.868663594469</v>
      </c>
    </row>
    <row r="23" spans="4:15" x14ac:dyDescent="0.25">
      <c r="D23">
        <v>20</v>
      </c>
      <c r="F23" s="1" t="str">
        <f>IF(ISERR(SMALL(Sheet1!$I$3:$I$26,D23)),"Predict","Done")</f>
        <v>Done</v>
      </c>
      <c r="G23" s="1">
        <f>IFERROR(SMALL(Sheet1!$I$3:$I$26,D23),J23)</f>
        <v>43724.024185300928</v>
      </c>
      <c r="H23" s="1">
        <f>SMALL(Sheet1!$J$3:$J$26,D23)</f>
        <v>43733</v>
      </c>
      <c r="J23" s="30">
        <f t="shared" si="4"/>
        <v>43724.121293154763</v>
      </c>
      <c r="M23" s="1">
        <f t="shared" si="0"/>
        <v>43733</v>
      </c>
      <c r="N23" s="1">
        <f t="shared" si="1"/>
        <v>43724.024185300928</v>
      </c>
      <c r="O23" s="1">
        <f t="shared" si="2"/>
        <v>43733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Leung</dc:creator>
  <cp:lastModifiedBy>Jackson Leung</cp:lastModifiedBy>
  <dcterms:created xsi:type="dcterms:W3CDTF">2019-07-10T15:29:23Z</dcterms:created>
  <dcterms:modified xsi:type="dcterms:W3CDTF">2019-09-15T16:35:54Z</dcterms:modified>
</cp:coreProperties>
</file>